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rumskfsr06\Departments\Consulting\Projects\ORS-Clim\ALROSA-AK\FY26-AK8161010-Alrosa-CCS-project-2025\06 Work\01 Work in Progress\ПТД\"/>
    </mc:Choice>
  </mc:AlternateContent>
  <xr:revisionPtr revIDLastSave="0" documentId="13_ncr:1_{DEDF790D-6DB4-4B20-B2F2-E77D54C179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Расчет" sheetId="10" r:id="rId1"/>
    <sheet name="Понижающий коэффициент" sheetId="11" r:id="rId2"/>
    <sheet name="Коэффициенты (ПС)" sheetId="5" r:id="rId3"/>
    <sheet name="Коэффициенты (БЛ)" sheetId="9" r:id="rId4"/>
    <sheet name="Обработка руды" sheetId="7" r:id="rId5"/>
    <sheet name="Базовый сценарий" sheetId="8" r:id="rId6"/>
  </sheets>
  <externalReferences>
    <externalReference r:id="rId7"/>
    <externalReference r:id="rId8"/>
    <externalReference r:id="rId9"/>
  </externalReferences>
  <definedNames>
    <definedName name="drng_Country">OFFSET([1]Lookups!$B$2,1,0,[1]Lookups!$G$1)</definedName>
    <definedName name="drng_HotelCountry">OFFSET([1]Lookups!$R$2,1,0,[1]Lookups!$W$1)</definedName>
    <definedName name="drng_LUBuildingType">OFFSET([1]Lookups!$M$2,1,0,[1]Lookups!$O$2)</definedName>
    <definedName name="drng_LUCountry">OFFSET([1]Lookups!$E$2,1,0,[1]Lookups!$G$2)</definedName>
    <definedName name="drng_LUHotelCountry">OFFSET([1]Lookups!$U$2,1,0,[1]Lookups!$W$2)</definedName>
    <definedName name="drng_LUPGSCap">OFFSET([1]Lookups!$AT$2,1,0,[1]Lookups!$AV$2)</definedName>
    <definedName name="drng_LUPGSGoods">OFFSET([1]Lookups!$AC$2,1,0,[1]Lookups!$AE$2)</definedName>
    <definedName name="drng_LUPGSInv">OFFSET([1]Lookups!$BB$2,1,0,[1]Lookups!$BD$2)</definedName>
    <definedName name="drng_LUPGSServices">OFFSET([1]Lookups!$AK$2,1,0,[1]Lookups!$AM$2)</definedName>
    <definedName name="drng_PGSCap">OFFSET([1]Lookups!$AQ$2,1,0,[1]Lookups!$AV$1)</definedName>
    <definedName name="drng_PGSGoods">OFFSET([1]Lookups!$Z$2,1,0,[1]Lookups!$AE$1)</definedName>
    <definedName name="drng_PGSInv">OFFSET([1]Lookups!$AY$2,1,0,[1]Lookups!$BD$1)</definedName>
    <definedName name="drng_PGSServices">OFFSET([1]Lookups!$AH$2,1,0,[1]Lookups!$AM$1)</definedName>
    <definedName name="Fuel_Source">[2]Dropdowns!$O$2:$O$8</definedName>
    <definedName name="Fuel_Source_Dropdown">[2]Dropdowns!$O$13:$P$19</definedName>
    <definedName name="Heat_Steam">[2]Dropdowns!$S$16:$S$17</definedName>
    <definedName name="Location_Based_EF">[2]Dropdowns!$S$12:$S$13</definedName>
    <definedName name="Market_Based_EF">[2]Dropdowns!$S$7:$S$9</definedName>
    <definedName name="PE_Heat_Custom_EF">[2]Parameters!$S$65:$S$94</definedName>
    <definedName name="PE_LB_Custom_EF">[2]Parameters!$U$65:$U$94</definedName>
    <definedName name="PE_MB_Custom_EF">[2]Parameters!$T$65:$T$94</definedName>
    <definedName name="rng_PGSGoodsGrid" localSheetId="3">#REF!</definedName>
    <definedName name="rng_PGSGoodsGrid" localSheetId="0">#REF!</definedName>
    <definedName name="rng_PGSGoodsGrid">#REF!</definedName>
    <definedName name="rng_PGSServicesGrid" localSheetId="3">#REF!</definedName>
    <definedName name="rng_PGSServicesGrid" localSheetId="0">#REF!</definedName>
    <definedName name="rng_PGSServicesGrid">#REF!</definedName>
    <definedName name="rng_selBuildingType" localSheetId="3">#REF!</definedName>
    <definedName name="rng_selBuildingType" localSheetId="0">#REF!</definedName>
    <definedName name="rng_selBuildingType">#REF!</definedName>
    <definedName name="rng_selCountry">'[1]Топливо и энергетика'!$A$7</definedName>
    <definedName name="rng_selHotelCountry" localSheetId="3">#REF!</definedName>
    <definedName name="rng_selHotelCountry" localSheetId="0">#REF!</definedName>
    <definedName name="rng_selHotelCountry">#REF!</definedName>
    <definedName name="rng_selPGSCap" localSheetId="3">#REF!</definedName>
    <definedName name="rng_selPGSCap" localSheetId="0">#REF!</definedName>
    <definedName name="rng_selPGSCap">#REF!</definedName>
    <definedName name="rng_selPGSGoods" localSheetId="3">#REF!</definedName>
    <definedName name="rng_selPGSGoods" localSheetId="0">#REF!</definedName>
    <definedName name="rng_selPGSGoods">#REF!</definedName>
    <definedName name="rng_selPGSInv" localSheetId="3">#REF!</definedName>
    <definedName name="rng_selPGSInv" localSheetId="0">#REF!</definedName>
    <definedName name="rng_selPGSInv">#REF!</definedName>
    <definedName name="rng_selPGSServices" localSheetId="3">#REF!</definedName>
    <definedName name="rng_selPGSServices" localSheetId="0">#REF!</definedName>
    <definedName name="rng_selPGSServices">#REF!</definedName>
    <definedName name="S1_MC_Custom_EF">[2]Parameters!$Q$65:$Q$94</definedName>
    <definedName name="S1_SC_Custom_EF">[2]Parameters!$P$65:$P$94</definedName>
    <definedName name="S3_Custom_EF">[2]Parameters!$V$65:$V$94</definedName>
    <definedName name="Scope3_Dropdown">[2]Dropdowns!$Q$2:$R$4</definedName>
    <definedName name="Std_Units">[3]REF_Conversions!$A$8:$B$104</definedName>
    <definedName name="куку" localSheetId="3">#REF!</definedName>
    <definedName name="куку" localSheetId="0">#REF!</definedName>
    <definedName name="куку">#REF!</definedName>
    <definedName name="укауые" localSheetId="3">#REF!</definedName>
    <definedName name="укауые" localSheetId="0">#REF!</definedName>
    <definedName name="укауые">#REF!</definedName>
    <definedName name="ююю" localSheetId="3">#REF!</definedName>
    <definedName name="ююю" localSheetId="0">#REF!</definedName>
    <definedName name="юю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10" l="1"/>
  <c r="G22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6" i="10"/>
  <c r="E25" i="10"/>
  <c r="E26" i="10"/>
  <c r="E27" i="10" l="1"/>
  <c r="C6" i="7"/>
  <c r="D43" i="10" l="1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E31" i="10" s="1"/>
  <c r="D6" i="10" l="1"/>
  <c r="H31" i="10"/>
  <c r="E3" i="9"/>
  <c r="E24" i="9" s="1"/>
  <c r="E10" i="9" l="1"/>
  <c r="E45" i="9"/>
  <c r="E21" i="9"/>
  <c r="E17" i="9"/>
  <c r="E52" i="9"/>
  <c r="E36" i="9"/>
  <c r="F36" i="9" s="1"/>
  <c r="G36" i="9" s="1"/>
  <c r="E20" i="9"/>
  <c r="F20" i="9" s="1"/>
  <c r="G20" i="9" s="1"/>
  <c r="E8" i="9"/>
  <c r="E51" i="9"/>
  <c r="E35" i="9"/>
  <c r="E19" i="9"/>
  <c r="E58" i="9"/>
  <c r="F58" i="9" s="1"/>
  <c r="G58" i="9" s="1"/>
  <c r="E42" i="9"/>
  <c r="F42" i="9" s="1"/>
  <c r="G42" i="9" s="1"/>
  <c r="E26" i="9"/>
  <c r="E14" i="9"/>
  <c r="F14" i="9" s="1"/>
  <c r="G14" i="9" s="1"/>
  <c r="E65" i="9"/>
  <c r="E57" i="9"/>
  <c r="E49" i="9"/>
  <c r="E41" i="9"/>
  <c r="E33" i="9"/>
  <c r="F33" i="9" s="1"/>
  <c r="G33" i="9" s="1"/>
  <c r="E25" i="9"/>
  <c r="F25" i="9" s="1"/>
  <c r="G25" i="9" s="1"/>
  <c r="E12" i="9"/>
  <c r="E63" i="9"/>
  <c r="E55" i="9"/>
  <c r="E47" i="9"/>
  <c r="E39" i="9"/>
  <c r="E31" i="9"/>
  <c r="E23" i="9"/>
  <c r="F24" i="9" s="1"/>
  <c r="G24" i="9" s="1"/>
  <c r="E7" i="9"/>
  <c r="F7" i="9" s="1"/>
  <c r="G7" i="9" s="1"/>
  <c r="E11" i="9"/>
  <c r="F11" i="9" s="1"/>
  <c r="G11" i="9" s="1"/>
  <c r="E62" i="9"/>
  <c r="F62" i="9" s="1"/>
  <c r="G62" i="9" s="1"/>
  <c r="E54" i="9"/>
  <c r="E46" i="9"/>
  <c r="E38" i="9"/>
  <c r="E30" i="9"/>
  <c r="E22" i="9"/>
  <c r="F22" i="9" s="1"/>
  <c r="G22" i="9" s="1"/>
  <c r="E18" i="9"/>
  <c r="F18" i="9" s="1"/>
  <c r="G18" i="9" s="1"/>
  <c r="E61" i="9"/>
  <c r="F61" i="9" s="1"/>
  <c r="G61" i="9" s="1"/>
  <c r="E53" i="9"/>
  <c r="F53" i="9" s="1"/>
  <c r="G53" i="9" s="1"/>
  <c r="E37" i="9"/>
  <c r="E29" i="9"/>
  <c r="E9" i="9"/>
  <c r="E60" i="9"/>
  <c r="E44" i="9"/>
  <c r="F45" i="9" s="1"/>
  <c r="G45" i="9" s="1"/>
  <c r="E28" i="9"/>
  <c r="F28" i="9" s="1"/>
  <c r="G28" i="9" s="1"/>
  <c r="E16" i="9"/>
  <c r="F16" i="9" s="1"/>
  <c r="G16" i="9" s="1"/>
  <c r="E59" i="9"/>
  <c r="F59" i="9" s="1"/>
  <c r="G59" i="9" s="1"/>
  <c r="E43" i="9"/>
  <c r="E27" i="9"/>
  <c r="E15" i="9"/>
  <c r="E66" i="9"/>
  <c r="E50" i="9"/>
  <c r="F51" i="9" s="1"/>
  <c r="G51" i="9" s="1"/>
  <c r="E34" i="9"/>
  <c r="F35" i="9" s="1"/>
  <c r="G35" i="9" s="1"/>
  <c r="E13" i="9"/>
  <c r="F13" i="9" s="1"/>
  <c r="G13" i="9" s="1"/>
  <c r="E64" i="9"/>
  <c r="F64" i="9" s="1"/>
  <c r="G64" i="9" s="1"/>
  <c r="E56" i="9"/>
  <c r="F56" i="9" s="1"/>
  <c r="G56" i="9" s="1"/>
  <c r="E48" i="9"/>
  <c r="E40" i="9"/>
  <c r="F40" i="9" s="1"/>
  <c r="G40" i="9" s="1"/>
  <c r="E32" i="9"/>
  <c r="F47" i="9"/>
  <c r="G47" i="9" s="1"/>
  <c r="F31" i="9"/>
  <c r="G31" i="9" s="1"/>
  <c r="F32" i="9"/>
  <c r="G32" i="9" s="1"/>
  <c r="F48" i="9"/>
  <c r="G48" i="9" s="1"/>
  <c r="F26" i="9" l="1"/>
  <c r="G26" i="9" s="1"/>
  <c r="F36" i="10"/>
  <c r="I36" i="10" s="1"/>
  <c r="F32" i="10"/>
  <c r="I32" i="10" s="1"/>
  <c r="F31" i="10"/>
  <c r="F33" i="10"/>
  <c r="I33" i="10" s="1"/>
  <c r="F43" i="9"/>
  <c r="G43" i="9" s="1"/>
  <c r="F37" i="9"/>
  <c r="G37" i="9" s="1"/>
  <c r="F54" i="9"/>
  <c r="G54" i="9" s="1"/>
  <c r="F65" i="9"/>
  <c r="G65" i="9" s="1"/>
  <c r="F8" i="9"/>
  <c r="G8" i="9" s="1"/>
  <c r="F41" i="10" s="1"/>
  <c r="I41" i="10" s="1"/>
  <c r="F52" i="9"/>
  <c r="G52" i="9" s="1"/>
  <c r="F30" i="9"/>
  <c r="G30" i="9" s="1"/>
  <c r="F39" i="9"/>
  <c r="G39" i="9" s="1"/>
  <c r="F46" i="9"/>
  <c r="G46" i="9" s="1"/>
  <c r="F50" i="9"/>
  <c r="G50" i="9" s="1"/>
  <c r="F55" i="9"/>
  <c r="G55" i="9" s="1"/>
  <c r="F63" i="9"/>
  <c r="G63" i="9" s="1"/>
  <c r="F15" i="9"/>
  <c r="G15" i="9" s="1"/>
  <c r="F17" i="9"/>
  <c r="G17" i="9" s="1"/>
  <c r="F19" i="9"/>
  <c r="G19" i="9" s="1"/>
  <c r="F60" i="9"/>
  <c r="G60" i="9" s="1"/>
  <c r="F34" i="9"/>
  <c r="G34" i="9" s="1"/>
  <c r="F44" i="9"/>
  <c r="G44" i="9" s="1"/>
  <c r="F27" i="9"/>
  <c r="G27" i="9" s="1"/>
  <c r="F23" i="9"/>
  <c r="G23" i="9" s="1"/>
  <c r="F66" i="9"/>
  <c r="G66" i="9" s="1"/>
  <c r="F41" i="9"/>
  <c r="G41" i="9" s="1"/>
  <c r="F21" i="9"/>
  <c r="G21" i="9" s="1"/>
  <c r="F29" i="9"/>
  <c r="G29" i="9" s="1"/>
  <c r="F9" i="9"/>
  <c r="G9" i="9" s="1"/>
  <c r="F38" i="9"/>
  <c r="G38" i="9" s="1"/>
  <c r="F49" i="9"/>
  <c r="G49" i="9" s="1"/>
  <c r="F12" i="9"/>
  <c r="G12" i="9" s="1"/>
  <c r="F57" i="9"/>
  <c r="G57" i="9" s="1"/>
  <c r="F10" i="9"/>
  <c r="G10" i="9" s="1"/>
  <c r="F37" i="10" s="1"/>
  <c r="I37" i="10" s="1"/>
  <c r="E6" i="10" l="1"/>
  <c r="I31" i="10"/>
  <c r="F34" i="10"/>
  <c r="I34" i="10" s="1"/>
  <c r="F43" i="10"/>
  <c r="I43" i="10" s="1"/>
  <c r="F38" i="10"/>
  <c r="I38" i="10" s="1"/>
  <c r="F35" i="10"/>
  <c r="I35" i="10" s="1"/>
  <c r="F39" i="10"/>
  <c r="I39" i="10" s="1"/>
  <c r="F44" i="10"/>
  <c r="I44" i="10" s="1"/>
  <c r="F42" i="10"/>
  <c r="I42" i="10" s="1"/>
  <c r="F40" i="10"/>
  <c r="I40" i="10" s="1"/>
  <c r="C4" i="7"/>
  <c r="F6" i="10" l="1"/>
  <c r="E7" i="10"/>
  <c r="I7" i="7"/>
  <c r="I8" i="7"/>
  <c r="I9" i="7"/>
  <c r="I10" i="7"/>
  <c r="I11" i="7"/>
  <c r="I12" i="7"/>
  <c r="I13" i="7"/>
  <c r="I14" i="7"/>
  <c r="I15" i="7"/>
  <c r="I16" i="7"/>
  <c r="I17" i="7"/>
  <c r="I6" i="7"/>
  <c r="E161" i="7" l="1"/>
  <c r="D187" i="10" s="1"/>
  <c r="E137" i="7"/>
  <c r="D163" i="10" s="1"/>
  <c r="E113" i="7"/>
  <c r="D139" i="10" s="1"/>
  <c r="E89" i="7"/>
  <c r="D115" i="10" s="1"/>
  <c r="E65" i="7"/>
  <c r="D91" i="10" s="1"/>
  <c r="E53" i="7"/>
  <c r="D79" i="10" s="1"/>
  <c r="E173" i="7"/>
  <c r="D199" i="10" s="1"/>
  <c r="E149" i="7"/>
  <c r="D175" i="10" s="1"/>
  <c r="E125" i="7"/>
  <c r="D151" i="10" s="1"/>
  <c r="E101" i="7"/>
  <c r="D127" i="10" s="1"/>
  <c r="E77" i="7"/>
  <c r="D103" i="10" s="1"/>
  <c r="E41" i="7"/>
  <c r="D67" i="10" s="1"/>
  <c r="E153" i="7"/>
  <c r="D179" i="10" s="1"/>
  <c r="E129" i="7"/>
  <c r="D155" i="10" s="1"/>
  <c r="E105" i="7"/>
  <c r="D131" i="10" s="1"/>
  <c r="E81" i="7"/>
  <c r="D107" i="10" s="1"/>
  <c r="E57" i="7"/>
  <c r="D83" i="10" s="1"/>
  <c r="E33" i="7"/>
  <c r="D59" i="10" s="1"/>
  <c r="E69" i="7"/>
  <c r="D95" i="10" s="1"/>
  <c r="E177" i="7"/>
  <c r="D203" i="10" s="1"/>
  <c r="E45" i="7"/>
  <c r="D71" i="10" s="1"/>
  <c r="E165" i="7"/>
  <c r="D191" i="10" s="1"/>
  <c r="E141" i="7"/>
  <c r="D167" i="10" s="1"/>
  <c r="E117" i="7"/>
  <c r="D143" i="10" s="1"/>
  <c r="E93" i="7"/>
  <c r="D119" i="10" s="1"/>
  <c r="E160" i="7"/>
  <c r="D186" i="10" s="1"/>
  <c r="E64" i="7"/>
  <c r="D90" i="10" s="1"/>
  <c r="E40" i="7"/>
  <c r="D66" i="10" s="1"/>
  <c r="E136" i="7"/>
  <c r="D162" i="10" s="1"/>
  <c r="E88" i="7"/>
  <c r="D114" i="10" s="1"/>
  <c r="E172" i="7"/>
  <c r="D198" i="10" s="1"/>
  <c r="E148" i="7"/>
  <c r="D174" i="10" s="1"/>
  <c r="E124" i="7"/>
  <c r="D150" i="10" s="1"/>
  <c r="E100" i="7"/>
  <c r="D126" i="10" s="1"/>
  <c r="E76" i="7"/>
  <c r="D102" i="10" s="1"/>
  <c r="E52" i="7"/>
  <c r="D78" i="10" s="1"/>
  <c r="E112" i="7"/>
  <c r="D138" i="10" s="1"/>
  <c r="E176" i="7"/>
  <c r="D202" i="10" s="1"/>
  <c r="E164" i="7"/>
  <c r="D190" i="10" s="1"/>
  <c r="E140" i="7"/>
  <c r="D166" i="10" s="1"/>
  <c r="E116" i="7"/>
  <c r="D142" i="10" s="1"/>
  <c r="E92" i="7"/>
  <c r="D118" i="10" s="1"/>
  <c r="E68" i="7"/>
  <c r="D94" i="10" s="1"/>
  <c r="E44" i="7"/>
  <c r="D70" i="10" s="1"/>
  <c r="E128" i="7"/>
  <c r="D154" i="10" s="1"/>
  <c r="E56" i="7"/>
  <c r="D82" i="10" s="1"/>
  <c r="E152" i="7"/>
  <c r="D178" i="10" s="1"/>
  <c r="E104" i="7"/>
  <c r="D130" i="10" s="1"/>
  <c r="E32" i="7"/>
  <c r="D58" i="10" s="1"/>
  <c r="E80" i="7"/>
  <c r="D106" i="10" s="1"/>
  <c r="E183" i="7"/>
  <c r="D209" i="10" s="1"/>
  <c r="E147" i="7"/>
  <c r="D173" i="10" s="1"/>
  <c r="E123" i="7"/>
  <c r="D149" i="10" s="1"/>
  <c r="E51" i="7"/>
  <c r="D77" i="10" s="1"/>
  <c r="E171" i="7"/>
  <c r="D197" i="10" s="1"/>
  <c r="E99" i="7"/>
  <c r="D125" i="10" s="1"/>
  <c r="E75" i="7"/>
  <c r="D101" i="10" s="1"/>
  <c r="E159" i="7"/>
  <c r="D185" i="10" s="1"/>
  <c r="E135" i="7"/>
  <c r="D161" i="10" s="1"/>
  <c r="E111" i="7"/>
  <c r="D137" i="10" s="1"/>
  <c r="E87" i="7"/>
  <c r="D113" i="10" s="1"/>
  <c r="E63" i="7"/>
  <c r="D89" i="10" s="1"/>
  <c r="E39" i="7"/>
  <c r="D65" i="10" s="1"/>
  <c r="E175" i="7"/>
  <c r="D201" i="10" s="1"/>
  <c r="E91" i="7"/>
  <c r="D117" i="10" s="1"/>
  <c r="E67" i="7"/>
  <c r="D93" i="10" s="1"/>
  <c r="E163" i="7"/>
  <c r="D189" i="10" s="1"/>
  <c r="E139" i="7"/>
  <c r="D165" i="10" s="1"/>
  <c r="E115" i="7"/>
  <c r="D141" i="10" s="1"/>
  <c r="E43" i="7"/>
  <c r="D69" i="10" s="1"/>
  <c r="E151" i="7"/>
  <c r="D177" i="10" s="1"/>
  <c r="E127" i="7"/>
  <c r="D153" i="10" s="1"/>
  <c r="E103" i="7"/>
  <c r="D129" i="10" s="1"/>
  <c r="E79" i="7"/>
  <c r="D105" i="10" s="1"/>
  <c r="E55" i="7"/>
  <c r="D81" i="10" s="1"/>
  <c r="E31" i="7"/>
  <c r="D57" i="10" s="1"/>
  <c r="E154" i="7"/>
  <c r="D180" i="10" s="1"/>
  <c r="E130" i="7"/>
  <c r="D156" i="10" s="1"/>
  <c r="E106" i="7"/>
  <c r="D132" i="10" s="1"/>
  <c r="E82" i="7"/>
  <c r="D108" i="10" s="1"/>
  <c r="E58" i="7"/>
  <c r="D84" i="10" s="1"/>
  <c r="E34" i="7"/>
  <c r="D60" i="10" s="1"/>
  <c r="E178" i="7"/>
  <c r="D204" i="10" s="1"/>
  <c r="E166" i="7"/>
  <c r="D192" i="10" s="1"/>
  <c r="E142" i="7"/>
  <c r="D168" i="10" s="1"/>
  <c r="E118" i="7"/>
  <c r="D144" i="10" s="1"/>
  <c r="E94" i="7"/>
  <c r="D120" i="10" s="1"/>
  <c r="E70" i="7"/>
  <c r="D96" i="10" s="1"/>
  <c r="E46" i="7"/>
  <c r="D72" i="10" s="1"/>
  <c r="E170" i="7"/>
  <c r="D196" i="10" s="1"/>
  <c r="E146" i="7"/>
  <c r="D172" i="10" s="1"/>
  <c r="E122" i="7"/>
  <c r="D148" i="10" s="1"/>
  <c r="E98" i="7"/>
  <c r="D124" i="10" s="1"/>
  <c r="E74" i="7"/>
  <c r="D100" i="10" s="1"/>
  <c r="E50" i="7"/>
  <c r="D76" i="10" s="1"/>
  <c r="E158" i="7"/>
  <c r="D184" i="10" s="1"/>
  <c r="E134" i="7"/>
  <c r="D160" i="10" s="1"/>
  <c r="E110" i="7"/>
  <c r="D136" i="10" s="1"/>
  <c r="E86" i="7"/>
  <c r="D112" i="10" s="1"/>
  <c r="E62" i="7"/>
  <c r="D88" i="10" s="1"/>
  <c r="E38" i="7"/>
  <c r="D64" i="10" s="1"/>
  <c r="E182" i="7"/>
  <c r="D208" i="10" s="1"/>
  <c r="E169" i="7"/>
  <c r="D195" i="10" s="1"/>
  <c r="E145" i="7"/>
  <c r="D171" i="10" s="1"/>
  <c r="E121" i="7"/>
  <c r="D147" i="10" s="1"/>
  <c r="E97" i="7"/>
  <c r="D123" i="10" s="1"/>
  <c r="E73" i="7"/>
  <c r="D99" i="10" s="1"/>
  <c r="E49" i="7"/>
  <c r="D75" i="10" s="1"/>
  <c r="E61" i="7"/>
  <c r="D87" i="10" s="1"/>
  <c r="E157" i="7"/>
  <c r="D183" i="10" s="1"/>
  <c r="E133" i="7"/>
  <c r="D159" i="10" s="1"/>
  <c r="E109" i="7"/>
  <c r="D135" i="10" s="1"/>
  <c r="E85" i="7"/>
  <c r="D111" i="10" s="1"/>
  <c r="E37" i="7"/>
  <c r="D63" i="10" s="1"/>
  <c r="E181" i="7"/>
  <c r="D207" i="10" s="1"/>
  <c r="E174" i="7"/>
  <c r="D200" i="10" s="1"/>
  <c r="E150" i="7"/>
  <c r="D176" i="10" s="1"/>
  <c r="E126" i="7"/>
  <c r="D152" i="10" s="1"/>
  <c r="E102" i="7"/>
  <c r="D128" i="10" s="1"/>
  <c r="E78" i="7"/>
  <c r="D104" i="10" s="1"/>
  <c r="E54" i="7"/>
  <c r="D80" i="10" s="1"/>
  <c r="E30" i="7"/>
  <c r="D56" i="10" s="1"/>
  <c r="E162" i="7"/>
  <c r="D188" i="10" s="1"/>
  <c r="E138" i="7"/>
  <c r="D164" i="10" s="1"/>
  <c r="E114" i="7"/>
  <c r="D140" i="10" s="1"/>
  <c r="E90" i="7"/>
  <c r="D116" i="10" s="1"/>
  <c r="E66" i="7"/>
  <c r="D92" i="10" s="1"/>
  <c r="E42" i="7"/>
  <c r="D68" i="10" s="1"/>
  <c r="E96" i="7"/>
  <c r="D122" i="10" s="1"/>
  <c r="E156" i="7"/>
  <c r="D182" i="10" s="1"/>
  <c r="E132" i="7"/>
  <c r="D158" i="10" s="1"/>
  <c r="E108" i="7"/>
  <c r="D134" i="10" s="1"/>
  <c r="E84" i="7"/>
  <c r="D110" i="10" s="1"/>
  <c r="E60" i="7"/>
  <c r="D86" i="10" s="1"/>
  <c r="E36" i="7"/>
  <c r="D62" i="10" s="1"/>
  <c r="E180" i="7"/>
  <c r="D206" i="10" s="1"/>
  <c r="E72" i="7"/>
  <c r="D98" i="10" s="1"/>
  <c r="E168" i="7"/>
  <c r="D194" i="10" s="1"/>
  <c r="E144" i="7"/>
  <c r="D170" i="10" s="1"/>
  <c r="E120" i="7"/>
  <c r="D146" i="10" s="1"/>
  <c r="E48" i="7"/>
  <c r="D74" i="10" s="1"/>
  <c r="E107" i="7"/>
  <c r="D133" i="10" s="1"/>
  <c r="E83" i="7"/>
  <c r="D109" i="10" s="1"/>
  <c r="E59" i="7"/>
  <c r="D85" i="10" s="1"/>
  <c r="E155" i="7"/>
  <c r="D181" i="10" s="1"/>
  <c r="E131" i="7"/>
  <c r="D157" i="10" s="1"/>
  <c r="E35" i="7"/>
  <c r="D61" i="10" s="1"/>
  <c r="E179" i="7"/>
  <c r="D205" i="10" s="1"/>
  <c r="E167" i="7"/>
  <c r="D193" i="10" s="1"/>
  <c r="E143" i="7"/>
  <c r="D169" i="10" s="1"/>
  <c r="E119" i="7"/>
  <c r="D145" i="10" s="1"/>
  <c r="E95" i="7"/>
  <c r="D121" i="10" s="1"/>
  <c r="E71" i="7"/>
  <c r="D97" i="10" s="1"/>
  <c r="E47" i="7"/>
  <c r="D73" i="10" s="1"/>
  <c r="F146" i="10" l="1"/>
  <c r="I146" i="10" s="1"/>
  <c r="F178" i="10"/>
  <c r="I178" i="10" s="1"/>
  <c r="F177" i="10"/>
  <c r="I177" i="10" s="1"/>
  <c r="F169" i="10"/>
  <c r="I169" i="10" s="1"/>
  <c r="F142" i="10"/>
  <c r="I142" i="10" s="1"/>
  <c r="F150" i="10"/>
  <c r="I150" i="10" s="1"/>
  <c r="F206" i="10"/>
  <c r="I206" i="10" s="1"/>
  <c r="F135" i="10"/>
  <c r="I135" i="10" s="1"/>
  <c r="F201" i="10"/>
  <c r="I201" i="10" s="1"/>
  <c r="F149" i="10"/>
  <c r="I149" i="10" s="1"/>
  <c r="F166" i="10"/>
  <c r="I166" i="10" s="1"/>
  <c r="F174" i="10"/>
  <c r="I174" i="10" s="1"/>
  <c r="F159" i="10"/>
  <c r="I159" i="10" s="1"/>
  <c r="F208" i="10"/>
  <c r="I208" i="10" s="1"/>
  <c r="F205" i="10"/>
  <c r="I205" i="10" s="1"/>
  <c r="F158" i="10"/>
  <c r="I158" i="10" s="1"/>
  <c r="F122" i="10"/>
  <c r="I122" i="10" s="1"/>
  <c r="F207" i="10"/>
  <c r="I207" i="10" s="1"/>
  <c r="F136" i="10"/>
  <c r="I136" i="10" s="1"/>
  <c r="F172" i="10"/>
  <c r="I172" i="10" s="1"/>
  <c r="F185" i="10"/>
  <c r="I185" i="10" s="1"/>
  <c r="F154" i="10"/>
  <c r="I154" i="10" s="1"/>
  <c r="F202" i="10"/>
  <c r="I202" i="10" s="1"/>
  <c r="F126" i="10"/>
  <c r="I126" i="10" s="1"/>
  <c r="F131" i="10"/>
  <c r="I131" i="10" s="1"/>
  <c r="F167" i="10"/>
  <c r="I167" i="10" s="1"/>
  <c r="F175" i="10"/>
  <c r="I175" i="10" s="1"/>
  <c r="F144" i="10"/>
  <c r="I144" i="10" s="1"/>
  <c r="F176" i="10"/>
  <c r="I176" i="10" s="1"/>
  <c r="F199" i="10"/>
  <c r="I199" i="10" s="1"/>
  <c r="F168" i="10"/>
  <c r="I168" i="10" s="1"/>
  <c r="F132" i="10"/>
  <c r="I132" i="10" s="1"/>
  <c r="F200" i="10"/>
  <c r="I200" i="10" s="1"/>
  <c r="F160" i="10"/>
  <c r="I160" i="10" s="1"/>
  <c r="F121" i="10"/>
  <c r="I121" i="10" s="1"/>
  <c r="F191" i="10"/>
  <c r="I191" i="10" s="1"/>
  <c r="F170" i="10"/>
  <c r="I170" i="10" s="1"/>
  <c r="F134" i="10"/>
  <c r="I134" i="10" s="1"/>
  <c r="F117" i="10"/>
  <c r="I117" i="10" s="1"/>
  <c r="F153" i="10"/>
  <c r="I153" i="10" s="1"/>
  <c r="F184" i="10"/>
  <c r="I184" i="10" s="1"/>
  <c r="F209" i="10"/>
  <c r="I209" i="10" s="1"/>
  <c r="F145" i="10"/>
  <c r="I145" i="10" s="1"/>
  <c r="F157" i="10"/>
  <c r="I157" i="10" s="1"/>
  <c r="F203" i="10"/>
  <c r="I203" i="10" s="1"/>
  <c r="F192" i="10"/>
  <c r="I192" i="10" s="1"/>
  <c r="F156" i="10"/>
  <c r="I156" i="10" s="1"/>
  <c r="F139" i="10"/>
  <c r="I139" i="10" s="1"/>
  <c r="F163" i="10"/>
  <c r="I163" i="10" s="1"/>
  <c r="F180" i="10"/>
  <c r="I180" i="10" s="1"/>
  <c r="F147" i="10"/>
  <c r="I147" i="10" s="1"/>
  <c r="F204" i="10"/>
  <c r="I204" i="10" s="1"/>
  <c r="F116" i="10"/>
  <c r="I116" i="10" s="1"/>
  <c r="F129" i="10"/>
  <c r="I129" i="10" s="1"/>
  <c r="F194" i="10"/>
  <c r="I194" i="10" s="1"/>
  <c r="F155" i="10"/>
  <c r="I155" i="10" s="1"/>
  <c r="F165" i="10"/>
  <c r="I165" i="10" s="1"/>
  <c r="F193" i="10"/>
  <c r="I193" i="10" s="1"/>
  <c r="F138" i="10"/>
  <c r="I138" i="10" s="1"/>
  <c r="F173" i="10"/>
  <c r="I173" i="10" s="1"/>
  <c r="F190" i="10"/>
  <c r="I190" i="10" s="1"/>
  <c r="F162" i="10"/>
  <c r="I162" i="10" s="1"/>
  <c r="F140" i="10"/>
  <c r="F196" i="10"/>
  <c r="I196" i="10" s="1"/>
  <c r="F198" i="10"/>
  <c r="I198" i="10" s="1"/>
  <c r="F125" i="10"/>
  <c r="I125" i="10" s="1"/>
  <c r="F171" i="10"/>
  <c r="I171" i="10" s="1"/>
  <c r="F189" i="10"/>
  <c r="I189" i="10" s="1"/>
  <c r="F195" i="10"/>
  <c r="I195" i="10" s="1"/>
  <c r="F183" i="10"/>
  <c r="I183" i="10" s="1"/>
  <c r="F124" i="10"/>
  <c r="I124" i="10" s="1"/>
  <c r="F137" i="10"/>
  <c r="I137" i="10" s="1"/>
  <c r="F186" i="10"/>
  <c r="I186" i="10" s="1"/>
  <c r="F128" i="10"/>
  <c r="I128" i="10" s="1"/>
  <c r="F164" i="10"/>
  <c r="I164" i="10" s="1"/>
  <c r="F133" i="10"/>
  <c r="I133" i="10" s="1"/>
  <c r="F179" i="10"/>
  <c r="I179" i="10" s="1"/>
  <c r="F141" i="10"/>
  <c r="I141" i="10" s="1"/>
  <c r="F181" i="10"/>
  <c r="I181" i="10" s="1"/>
  <c r="F197" i="10"/>
  <c r="I197" i="10" s="1"/>
  <c r="F119" i="10"/>
  <c r="I119" i="10" s="1"/>
  <c r="F127" i="10"/>
  <c r="I127" i="10" s="1"/>
  <c r="F187" i="10"/>
  <c r="I187" i="10" s="1"/>
  <c r="F182" i="10"/>
  <c r="I182" i="10" s="1"/>
  <c r="F123" i="10"/>
  <c r="I123" i="10" s="1"/>
  <c r="F148" i="10"/>
  <c r="I148" i="10" s="1"/>
  <c r="F161" i="10"/>
  <c r="I161" i="10" s="1"/>
  <c r="F130" i="10"/>
  <c r="I130" i="10" s="1"/>
  <c r="F118" i="10"/>
  <c r="I118" i="10" s="1"/>
  <c r="F143" i="10"/>
  <c r="I143" i="10" s="1"/>
  <c r="F151" i="10"/>
  <c r="I151" i="10" s="1"/>
  <c r="F120" i="10"/>
  <c r="I120" i="10" s="1"/>
  <c r="F152" i="10"/>
  <c r="I152" i="10" s="1"/>
  <c r="F188" i="10"/>
  <c r="I188" i="10" s="1"/>
  <c r="E8" i="5"/>
  <c r="F8" i="5" s="1"/>
  <c r="G8" i="5" s="1"/>
  <c r="E38" i="5"/>
  <c r="E54" i="5"/>
  <c r="E33" i="5"/>
  <c r="E34" i="5"/>
  <c r="E35" i="5"/>
  <c r="E37" i="5"/>
  <c r="E39" i="5"/>
  <c r="E40" i="5"/>
  <c r="E41" i="5"/>
  <c r="E42" i="5"/>
  <c r="E43" i="5"/>
  <c r="E21" i="5"/>
  <c r="E23" i="5"/>
  <c r="E28" i="5"/>
  <c r="E29" i="5"/>
  <c r="E30" i="5"/>
  <c r="E31" i="5"/>
  <c r="E20" i="5"/>
  <c r="E9" i="5"/>
  <c r="E36" i="5"/>
  <c r="E32" i="5"/>
  <c r="E27" i="5"/>
  <c r="E26" i="5"/>
  <c r="E25" i="5"/>
  <c r="E24" i="5"/>
  <c r="E22" i="5"/>
  <c r="E19" i="5"/>
  <c r="E18" i="5"/>
  <c r="E17" i="5"/>
  <c r="E16" i="5"/>
  <c r="E15" i="5"/>
  <c r="E14" i="5"/>
  <c r="E13" i="5"/>
  <c r="E12" i="5"/>
  <c r="E11" i="5"/>
  <c r="E10" i="5"/>
  <c r="I140" i="10" l="1"/>
  <c r="E16" i="10"/>
  <c r="E17" i="10"/>
  <c r="E15" i="10"/>
  <c r="E14" i="10"/>
  <c r="E21" i="10"/>
  <c r="E19" i="10"/>
  <c r="E20" i="10"/>
  <c r="E18" i="10"/>
  <c r="F11" i="5"/>
  <c r="G11" i="5" s="1"/>
  <c r="F12" i="5"/>
  <c r="G12" i="5" s="1"/>
  <c r="F15" i="5"/>
  <c r="G15" i="5" s="1"/>
  <c r="F26" i="5"/>
  <c r="G26" i="5" s="1"/>
  <c r="F29" i="5"/>
  <c r="G29" i="5" s="1"/>
  <c r="F40" i="5"/>
  <c r="G40" i="5" s="1"/>
  <c r="F23" i="5"/>
  <c r="G23" i="5" s="1"/>
  <c r="F9" i="5"/>
  <c r="G9" i="5" s="1"/>
  <c r="F43" i="5"/>
  <c r="G43" i="5" s="1"/>
  <c r="F19" i="5"/>
  <c r="G19" i="5" s="1"/>
  <c r="F17" i="5"/>
  <c r="G17" i="5" s="1"/>
  <c r="F41" i="5"/>
  <c r="G41" i="5" s="1"/>
  <c r="F25" i="5"/>
  <c r="G25" i="5" s="1"/>
  <c r="F36" i="5"/>
  <c r="G36" i="5" s="1"/>
  <c r="F21" i="5"/>
  <c r="G21" i="5" s="1"/>
  <c r="F33" i="5"/>
  <c r="G33" i="5" s="1"/>
  <c r="F16" i="5"/>
  <c r="G16" i="5" s="1"/>
  <c r="F28" i="5"/>
  <c r="G28" i="5" s="1"/>
  <c r="F27" i="5"/>
  <c r="G27" i="5" s="1"/>
  <c r="F37" i="5"/>
  <c r="G37" i="5" s="1"/>
  <c r="F34" i="5"/>
  <c r="G34" i="5" s="1"/>
  <c r="F18" i="5"/>
  <c r="G18" i="5" s="1"/>
  <c r="F13" i="5"/>
  <c r="G13" i="5" s="1"/>
  <c r="F22" i="5"/>
  <c r="G22" i="5" s="1"/>
  <c r="F20" i="5"/>
  <c r="G20" i="5" s="1"/>
  <c r="F42" i="5"/>
  <c r="G42" i="5" s="1"/>
  <c r="F24" i="5"/>
  <c r="G24" i="5" s="1"/>
  <c r="F32" i="5"/>
  <c r="G32" i="5" s="1"/>
  <c r="F38" i="5"/>
  <c r="G38" i="5" s="1"/>
  <c r="F14" i="5"/>
  <c r="G14" i="5" s="1"/>
  <c r="F30" i="5"/>
  <c r="G30" i="5" s="1"/>
  <c r="F31" i="5"/>
  <c r="G31" i="5" s="1"/>
  <c r="F10" i="5"/>
  <c r="G10" i="5" s="1"/>
  <c r="F35" i="5"/>
  <c r="G35" i="5" s="1"/>
  <c r="F39" i="5"/>
  <c r="G39" i="5" s="1"/>
  <c r="E53" i="5"/>
  <c r="F54" i="5" s="1"/>
  <c r="G54" i="5" s="1"/>
  <c r="E48" i="5"/>
  <c r="E46" i="5"/>
  <c r="E47" i="5"/>
  <c r="E45" i="5"/>
  <c r="E44" i="5"/>
  <c r="F44" i="5" s="1"/>
  <c r="G44" i="5" s="1"/>
  <c r="E62" i="5"/>
  <c r="E60" i="5"/>
  <c r="E52" i="5"/>
  <c r="E50" i="5"/>
  <c r="E57" i="5"/>
  <c r="E61" i="5"/>
  <c r="E51" i="5"/>
  <c r="E49" i="5"/>
  <c r="E39" i="10" l="1"/>
  <c r="H39" i="10" s="1"/>
  <c r="E33" i="10"/>
  <c r="H33" i="10" s="1"/>
  <c r="E32" i="10"/>
  <c r="H32" i="10" s="1"/>
  <c r="E40" i="10"/>
  <c r="H40" i="10" s="1"/>
  <c r="E34" i="10"/>
  <c r="H34" i="10" s="1"/>
  <c r="E38" i="10"/>
  <c r="H38" i="10" s="1"/>
  <c r="E37" i="10"/>
  <c r="H37" i="10" s="1"/>
  <c r="E44" i="10"/>
  <c r="H44" i="10" s="1"/>
  <c r="E42" i="10"/>
  <c r="H42" i="10" s="1"/>
  <c r="E41" i="10"/>
  <c r="H41" i="10" s="1"/>
  <c r="E35" i="10"/>
  <c r="H35" i="10" s="1"/>
  <c r="E36" i="10"/>
  <c r="H36" i="10" s="1"/>
  <c r="E43" i="10"/>
  <c r="H43" i="10" s="1"/>
  <c r="F47" i="5"/>
  <c r="G47" i="5" s="1"/>
  <c r="F62" i="5"/>
  <c r="G62" i="5" s="1"/>
  <c r="F49" i="5"/>
  <c r="G49" i="5" s="1"/>
  <c r="F51" i="5"/>
  <c r="G51" i="5" s="1"/>
  <c r="F45" i="5"/>
  <c r="G45" i="5" s="1"/>
  <c r="F46" i="5"/>
  <c r="G46" i="5" s="1"/>
  <c r="F61" i="5"/>
  <c r="G61" i="5" s="1"/>
  <c r="F50" i="5"/>
  <c r="G50" i="5" s="1"/>
  <c r="F48" i="5"/>
  <c r="G48" i="5" s="1"/>
  <c r="F52" i="5"/>
  <c r="G52" i="5" s="1"/>
  <c r="F53" i="5"/>
  <c r="G53" i="5" s="1"/>
  <c r="E67" i="5"/>
  <c r="E63" i="5"/>
  <c r="F63" i="5" s="1"/>
  <c r="G63" i="5" s="1"/>
  <c r="E66" i="5"/>
  <c r="E59" i="5"/>
  <c r="E56" i="5"/>
  <c r="F57" i="5" s="1"/>
  <c r="G57" i="5" s="1"/>
  <c r="E65" i="5"/>
  <c r="E64" i="5"/>
  <c r="E58" i="5"/>
  <c r="F58" i="5" s="1"/>
  <c r="G58" i="5" s="1"/>
  <c r="E55" i="5"/>
  <c r="F55" i="5" s="1"/>
  <c r="G55" i="5" s="1"/>
  <c r="D7" i="10" l="1"/>
  <c r="E130" i="10"/>
  <c r="H130" i="10" s="1"/>
  <c r="E147" i="10"/>
  <c r="H147" i="10" s="1"/>
  <c r="F59" i="5"/>
  <c r="G59" i="5" s="1"/>
  <c r="F65" i="5"/>
  <c r="G65" i="5" s="1"/>
  <c r="F66" i="5"/>
  <c r="G66" i="5" s="1"/>
  <c r="F67" i="5"/>
  <c r="G67" i="5" s="1"/>
  <c r="F64" i="5"/>
  <c r="G64" i="5" s="1"/>
  <c r="F56" i="5"/>
  <c r="G56" i="5" s="1"/>
  <c r="E123" i="10" s="1"/>
  <c r="H123" i="10" s="1"/>
  <c r="F60" i="5"/>
  <c r="G60" i="5" s="1"/>
  <c r="E139" i="10" s="1"/>
  <c r="H139" i="10" s="1"/>
  <c r="F7" i="10" l="1"/>
  <c r="E196" i="10"/>
  <c r="H196" i="10" s="1"/>
  <c r="E126" i="10"/>
  <c r="H126" i="10" s="1"/>
  <c r="E121" i="10"/>
  <c r="H121" i="10" s="1"/>
  <c r="E193" i="10"/>
  <c r="H193" i="10" s="1"/>
  <c r="E134" i="10"/>
  <c r="H134" i="10" s="1"/>
  <c r="E152" i="10"/>
  <c r="H152" i="10" s="1"/>
  <c r="E143" i="10"/>
  <c r="H143" i="10" s="1"/>
  <c r="E190" i="10"/>
  <c r="H190" i="10" s="1"/>
  <c r="E144" i="10"/>
  <c r="H144" i="10" s="1"/>
  <c r="E122" i="10"/>
  <c r="H122" i="10" s="1"/>
  <c r="E141" i="10"/>
  <c r="H141" i="10" s="1"/>
  <c r="E191" i="10"/>
  <c r="H191" i="10" s="1"/>
  <c r="E124" i="10"/>
  <c r="H124" i="10" s="1"/>
  <c r="E140" i="10"/>
  <c r="H140" i="10" s="1"/>
  <c r="E167" i="10"/>
  <c r="H167" i="10" s="1"/>
  <c r="E156" i="10"/>
  <c r="H156" i="10" s="1"/>
  <c r="E161" i="10"/>
  <c r="H161" i="10" s="1"/>
  <c r="E149" i="10"/>
  <c r="H149" i="10" s="1"/>
  <c r="E197" i="10"/>
  <c r="H197" i="10" s="1"/>
  <c r="E118" i="10"/>
  <c r="H118" i="10" s="1"/>
  <c r="E120" i="10"/>
  <c r="H120" i="10" s="1"/>
  <c r="E187" i="10"/>
  <c r="H187" i="10" s="1"/>
  <c r="E119" i="10"/>
  <c r="H119" i="10" s="1"/>
  <c r="E159" i="10"/>
  <c r="H159" i="10" s="1"/>
  <c r="E153" i="10"/>
  <c r="H153" i="10" s="1"/>
  <c r="E146" i="10"/>
  <c r="H146" i="10" s="1"/>
  <c r="E178" i="10"/>
  <c r="H178" i="10" s="1"/>
  <c r="E192" i="10"/>
  <c r="H192" i="10" s="1"/>
  <c r="E208" i="10"/>
  <c r="H208" i="10" s="1"/>
  <c r="E181" i="10"/>
  <c r="H181" i="10" s="1"/>
  <c r="E179" i="10"/>
  <c r="H179" i="10" s="1"/>
  <c r="E184" i="10"/>
  <c r="H184" i="10" s="1"/>
  <c r="E201" i="10"/>
  <c r="H201" i="10" s="1"/>
  <c r="E151" i="10"/>
  <c r="H151" i="10" s="1"/>
  <c r="E145" i="10"/>
  <c r="H145" i="10" s="1"/>
  <c r="E125" i="10"/>
  <c r="H125" i="10" s="1"/>
  <c r="E207" i="10"/>
  <c r="H207" i="10" s="1"/>
  <c r="E175" i="10"/>
  <c r="H175" i="10" s="1"/>
  <c r="E127" i="10"/>
  <c r="H127" i="10" s="1"/>
  <c r="E116" i="10"/>
  <c r="H116" i="10" s="1"/>
  <c r="E177" i="10"/>
  <c r="H177" i="10" s="1"/>
  <c r="E180" i="10"/>
  <c r="H180" i="10" s="1"/>
  <c r="E162" i="10"/>
  <c r="H162" i="10" s="1"/>
  <c r="E194" i="10"/>
  <c r="H194" i="10" s="1"/>
  <c r="E186" i="10"/>
  <c r="H186" i="10" s="1"/>
  <c r="E168" i="10"/>
  <c r="H168" i="10" s="1"/>
  <c r="E138" i="10"/>
  <c r="H138" i="10" s="1"/>
  <c r="E165" i="10"/>
  <c r="H165" i="10" s="1"/>
  <c r="E185" i="10"/>
  <c r="H185" i="10" s="1"/>
  <c r="E132" i="10"/>
  <c r="H132" i="10" s="1"/>
  <c r="E198" i="10"/>
  <c r="H198" i="10" s="1"/>
  <c r="E117" i="10"/>
  <c r="H117" i="10" s="1"/>
  <c r="E205" i="10"/>
  <c r="H205" i="10" s="1"/>
  <c r="E136" i="10"/>
  <c r="H136" i="10" s="1"/>
  <c r="E172" i="10"/>
  <c r="H172" i="10" s="1"/>
  <c r="E163" i="10"/>
  <c r="H163" i="10" s="1"/>
  <c r="E135" i="10"/>
  <c r="H135" i="10" s="1"/>
  <c r="E155" i="10"/>
  <c r="H155" i="10" s="1"/>
  <c r="E142" i="10"/>
  <c r="H142" i="10" s="1"/>
  <c r="E202" i="10"/>
  <c r="H202" i="10" s="1"/>
  <c r="E206" i="10"/>
  <c r="H206" i="10" s="1"/>
  <c r="E173" i="10"/>
  <c r="H173" i="10" s="1"/>
  <c r="E204" i="10"/>
  <c r="H204" i="10" s="1"/>
  <c r="E164" i="10"/>
  <c r="H164" i="10" s="1"/>
  <c r="E188" i="10"/>
  <c r="H188" i="10" s="1"/>
  <c r="E160" i="10"/>
  <c r="H160" i="10" s="1"/>
  <c r="E183" i="10"/>
  <c r="H183" i="10" s="1"/>
  <c r="E131" i="10"/>
  <c r="H131" i="10" s="1"/>
  <c r="E182" i="10"/>
  <c r="H182" i="10" s="1"/>
  <c r="E174" i="10"/>
  <c r="H174" i="10" s="1"/>
  <c r="E157" i="10"/>
  <c r="H157" i="10" s="1"/>
  <c r="E137" i="10"/>
  <c r="H137" i="10" s="1"/>
  <c r="E189" i="10"/>
  <c r="H189" i="10" s="1"/>
  <c r="E170" i="10"/>
  <c r="H170" i="10" s="1"/>
  <c r="E176" i="10"/>
  <c r="H176" i="10" s="1"/>
  <c r="E171" i="10"/>
  <c r="H171" i="10" s="1"/>
  <c r="E158" i="10"/>
  <c r="H158" i="10" s="1"/>
  <c r="E200" i="10"/>
  <c r="H200" i="10" s="1"/>
  <c r="E169" i="10"/>
  <c r="H169" i="10" s="1"/>
  <c r="E203" i="10"/>
  <c r="H203" i="10" s="1"/>
  <c r="E209" i="10"/>
  <c r="H209" i="10" s="1"/>
  <c r="E128" i="10"/>
  <c r="H128" i="10" s="1"/>
  <c r="E199" i="10"/>
  <c r="H199" i="10" s="1"/>
  <c r="E166" i="10"/>
  <c r="H166" i="10" s="1"/>
  <c r="E129" i="10"/>
  <c r="H129" i="10" s="1"/>
  <c r="E154" i="10"/>
  <c r="H154" i="10" s="1"/>
  <c r="E195" i="10"/>
  <c r="H195" i="10" s="1"/>
  <c r="E148" i="10"/>
  <c r="H148" i="10" s="1"/>
  <c r="E150" i="10"/>
  <c r="H150" i="10" s="1"/>
  <c r="E133" i="10"/>
  <c r="H133" i="10" s="1"/>
  <c r="E25" i="7"/>
  <c r="D51" i="10" s="1"/>
  <c r="E22" i="7"/>
  <c r="D48" i="10" s="1"/>
  <c r="E21" i="7"/>
  <c r="D47" i="10" s="1"/>
  <c r="E19" i="7"/>
  <c r="D45" i="10" s="1"/>
  <c r="E20" i="7"/>
  <c r="D46" i="10" s="1"/>
  <c r="E23" i="7"/>
  <c r="D49" i="10" s="1"/>
  <c r="E27" i="7"/>
  <c r="D53" i="10" s="1"/>
  <c r="E26" i="7"/>
  <c r="D52" i="10" s="1"/>
  <c r="E24" i="7"/>
  <c r="D50" i="10" s="1"/>
  <c r="E28" i="7"/>
  <c r="D54" i="10" s="1"/>
  <c r="E29" i="7"/>
  <c r="D55" i="10" s="1"/>
  <c r="E115" i="10" s="1"/>
  <c r="H115" i="10" s="1"/>
  <c r="E18" i="7"/>
  <c r="D44" i="10" s="1"/>
  <c r="D19" i="10" l="1"/>
  <c r="F19" i="10" s="1"/>
  <c r="E107" i="10"/>
  <c r="H107" i="10" s="1"/>
  <c r="D15" i="10"/>
  <c r="F15" i="10" s="1"/>
  <c r="D14" i="10"/>
  <c r="F14" i="10" s="1"/>
  <c r="E47" i="10"/>
  <c r="H47" i="10" s="1"/>
  <c r="F47" i="10"/>
  <c r="I47" i="10" s="1"/>
  <c r="F45" i="10"/>
  <c r="I45" i="10" s="1"/>
  <c r="E45" i="10"/>
  <c r="H45" i="10" s="1"/>
  <c r="E56" i="10"/>
  <c r="H56" i="10" s="1"/>
  <c r="F56" i="10"/>
  <c r="I56" i="10" s="1"/>
  <c r="F113" i="10"/>
  <c r="I113" i="10" s="1"/>
  <c r="F64" i="10"/>
  <c r="I64" i="10" s="1"/>
  <c r="F105" i="10"/>
  <c r="I105" i="10" s="1"/>
  <c r="F97" i="10"/>
  <c r="I97" i="10" s="1"/>
  <c r="F58" i="10"/>
  <c r="I58" i="10" s="1"/>
  <c r="F103" i="10"/>
  <c r="I103" i="10" s="1"/>
  <c r="F78" i="10"/>
  <c r="I78" i="10" s="1"/>
  <c r="F114" i="10"/>
  <c r="I114" i="10" s="1"/>
  <c r="F77" i="10"/>
  <c r="I77" i="10" s="1"/>
  <c r="F82" i="10"/>
  <c r="I82" i="10" s="1"/>
  <c r="F94" i="10"/>
  <c r="I94" i="10" s="1"/>
  <c r="F106" i="10"/>
  <c r="I106" i="10" s="1"/>
  <c r="F86" i="10"/>
  <c r="I86" i="10" s="1"/>
  <c r="F109" i="10"/>
  <c r="I109" i="10" s="1"/>
  <c r="F98" i="10"/>
  <c r="I98" i="10" s="1"/>
  <c r="F63" i="10"/>
  <c r="I63" i="10" s="1"/>
  <c r="F79" i="10"/>
  <c r="I79" i="10" s="1"/>
  <c r="F108" i="10"/>
  <c r="I108" i="10" s="1"/>
  <c r="F83" i="10"/>
  <c r="I83" i="10" s="1"/>
  <c r="F72" i="10"/>
  <c r="I72" i="10" s="1"/>
  <c r="F68" i="10"/>
  <c r="I68" i="10" s="1"/>
  <c r="F91" i="10"/>
  <c r="I91" i="10" s="1"/>
  <c r="F93" i="10"/>
  <c r="I93" i="10" s="1"/>
  <c r="F71" i="10"/>
  <c r="I71" i="10" s="1"/>
  <c r="F81" i="10"/>
  <c r="I81" i="10" s="1"/>
  <c r="F80" i="10"/>
  <c r="I80" i="10" s="1"/>
  <c r="F76" i="10"/>
  <c r="I76" i="10" s="1"/>
  <c r="F100" i="10"/>
  <c r="I100" i="10" s="1"/>
  <c r="F62" i="10"/>
  <c r="I62" i="10" s="1"/>
  <c r="F74" i="10"/>
  <c r="I74" i="10" s="1"/>
  <c r="F107" i="10"/>
  <c r="I107" i="10" s="1"/>
  <c r="F66" i="10"/>
  <c r="I66" i="10" s="1"/>
  <c r="F70" i="10"/>
  <c r="I70" i="10" s="1"/>
  <c r="F89" i="10"/>
  <c r="I89" i="10" s="1"/>
  <c r="F84" i="10"/>
  <c r="I84" i="10" s="1"/>
  <c r="F87" i="10"/>
  <c r="I87" i="10" s="1"/>
  <c r="F111" i="10"/>
  <c r="I111" i="10" s="1"/>
  <c r="F96" i="10"/>
  <c r="I96" i="10" s="1"/>
  <c r="F112" i="10"/>
  <c r="I112" i="10" s="1"/>
  <c r="F85" i="10"/>
  <c r="I85" i="10" s="1"/>
  <c r="F59" i="10"/>
  <c r="I59" i="10" s="1"/>
  <c r="F60" i="10"/>
  <c r="I60" i="10" s="1"/>
  <c r="F110" i="10"/>
  <c r="I110" i="10" s="1"/>
  <c r="F92" i="10"/>
  <c r="I92" i="10" s="1"/>
  <c r="F65" i="10"/>
  <c r="I65" i="10" s="1"/>
  <c r="F95" i="10"/>
  <c r="I95" i="10" s="1"/>
  <c r="F104" i="10"/>
  <c r="I104" i="10" s="1"/>
  <c r="F69" i="10"/>
  <c r="I69" i="10" s="1"/>
  <c r="F101" i="10"/>
  <c r="I101" i="10" s="1"/>
  <c r="F90" i="10"/>
  <c r="I90" i="10" s="1"/>
  <c r="F115" i="10"/>
  <c r="I115" i="10" s="1"/>
  <c r="F67" i="10"/>
  <c r="I67" i="10" s="1"/>
  <c r="F57" i="10"/>
  <c r="I57" i="10" s="1"/>
  <c r="F75" i="10"/>
  <c r="I75" i="10" s="1"/>
  <c r="F99" i="10"/>
  <c r="I99" i="10" s="1"/>
  <c r="F61" i="10"/>
  <c r="I61" i="10" s="1"/>
  <c r="F88" i="10"/>
  <c r="I88" i="10" s="1"/>
  <c r="F73" i="10"/>
  <c r="I73" i="10" s="1"/>
  <c r="F102" i="10"/>
  <c r="I102" i="10" s="1"/>
  <c r="E57" i="10"/>
  <c r="H57" i="10" s="1"/>
  <c r="E58" i="10"/>
  <c r="H58" i="10" s="1"/>
  <c r="E63" i="10"/>
  <c r="H63" i="10" s="1"/>
  <c r="E68" i="10"/>
  <c r="H68" i="10" s="1"/>
  <c r="E76" i="10"/>
  <c r="H76" i="10" s="1"/>
  <c r="E85" i="10"/>
  <c r="H85" i="10" s="1"/>
  <c r="E79" i="10"/>
  <c r="H79" i="10" s="1"/>
  <c r="E65" i="10"/>
  <c r="H65" i="10" s="1"/>
  <c r="E62" i="10"/>
  <c r="H62" i="10" s="1"/>
  <c r="E72" i="10"/>
  <c r="H72" i="10" s="1"/>
  <c r="E78" i="10"/>
  <c r="H78" i="10" s="1"/>
  <c r="E74" i="10"/>
  <c r="H74" i="10" s="1"/>
  <c r="E82" i="10"/>
  <c r="H82" i="10" s="1"/>
  <c r="E90" i="10"/>
  <c r="H90" i="10" s="1"/>
  <c r="E88" i="10"/>
  <c r="H88" i="10" s="1"/>
  <c r="E91" i="10"/>
  <c r="H91" i="10" s="1"/>
  <c r="E87" i="10"/>
  <c r="H87" i="10" s="1"/>
  <c r="E83" i="10"/>
  <c r="H83" i="10" s="1"/>
  <c r="E81" i="10"/>
  <c r="H81" i="10" s="1"/>
  <c r="E70" i="10"/>
  <c r="H70" i="10" s="1"/>
  <c r="E84" i="10"/>
  <c r="H84" i="10" s="1"/>
  <c r="E67" i="10"/>
  <c r="H67" i="10" s="1"/>
  <c r="E93" i="10"/>
  <c r="H93" i="10" s="1"/>
  <c r="E59" i="10"/>
  <c r="H59" i="10" s="1"/>
  <c r="E60" i="10"/>
  <c r="H60" i="10" s="1"/>
  <c r="E89" i="10"/>
  <c r="H89" i="10" s="1"/>
  <c r="E69" i="10"/>
  <c r="H69" i="10" s="1"/>
  <c r="E64" i="10"/>
  <c r="H64" i="10" s="1"/>
  <c r="E75" i="10"/>
  <c r="H75" i="10" s="1"/>
  <c r="E77" i="10"/>
  <c r="H77" i="10" s="1"/>
  <c r="E86" i="10"/>
  <c r="H86" i="10" s="1"/>
  <c r="E66" i="10"/>
  <c r="H66" i="10" s="1"/>
  <c r="E73" i="10"/>
  <c r="H73" i="10" s="1"/>
  <c r="E80" i="10"/>
  <c r="H80" i="10" s="1"/>
  <c r="E71" i="10"/>
  <c r="H71" i="10" s="1"/>
  <c r="E92" i="10"/>
  <c r="H92" i="10" s="1"/>
  <c r="E61" i="10"/>
  <c r="H61" i="10" s="1"/>
  <c r="E94" i="10"/>
  <c r="H94" i="10" s="1"/>
  <c r="E97" i="10"/>
  <c r="H97" i="10" s="1"/>
  <c r="E99" i="10"/>
  <c r="H99" i="10" s="1"/>
  <c r="E96" i="10"/>
  <c r="H96" i="10" s="1"/>
  <c r="E100" i="10"/>
  <c r="H100" i="10" s="1"/>
  <c r="E103" i="10"/>
  <c r="H103" i="10" s="1"/>
  <c r="E101" i="10"/>
  <c r="H101" i="10" s="1"/>
  <c r="E95" i="10"/>
  <c r="H95" i="10" s="1"/>
  <c r="E104" i="10"/>
  <c r="H104" i="10" s="1"/>
  <c r="E98" i="10"/>
  <c r="H98" i="10" s="1"/>
  <c r="E102" i="10"/>
  <c r="H102" i="10" s="1"/>
  <c r="E48" i="10"/>
  <c r="H48" i="10" s="1"/>
  <c r="F48" i="10"/>
  <c r="I48" i="10" s="1"/>
  <c r="E51" i="10"/>
  <c r="H51" i="10" s="1"/>
  <c r="F51" i="10"/>
  <c r="I51" i="10" s="1"/>
  <c r="E52" i="10"/>
  <c r="H52" i="10" s="1"/>
  <c r="F52" i="10"/>
  <c r="I52" i="10" s="1"/>
  <c r="D20" i="10"/>
  <c r="F20" i="10" s="1"/>
  <c r="E110" i="10"/>
  <c r="H110" i="10" s="1"/>
  <c r="E53" i="10"/>
  <c r="H53" i="10" s="1"/>
  <c r="F53" i="10"/>
  <c r="I53" i="10" s="1"/>
  <c r="D18" i="10"/>
  <c r="F18" i="10" s="1"/>
  <c r="D16" i="10"/>
  <c r="F16" i="10" s="1"/>
  <c r="E50" i="10"/>
  <c r="H50" i="10" s="1"/>
  <c r="F50" i="10"/>
  <c r="I50" i="10" s="1"/>
  <c r="F54" i="10"/>
  <c r="I54" i="10" s="1"/>
  <c r="E54" i="10"/>
  <c r="H54" i="10" s="1"/>
  <c r="E113" i="10"/>
  <c r="H113" i="10" s="1"/>
  <c r="D17" i="10"/>
  <c r="F17" i="10" s="1"/>
  <c r="E46" i="10"/>
  <c r="H46" i="10" s="1"/>
  <c r="F46" i="10"/>
  <c r="I46" i="10" s="1"/>
  <c r="E109" i="10"/>
  <c r="H109" i="10" s="1"/>
  <c r="E106" i="10"/>
  <c r="H106" i="10" s="1"/>
  <c r="E105" i="10"/>
  <c r="H105" i="10" s="1"/>
  <c r="E111" i="10"/>
  <c r="H111" i="10" s="1"/>
  <c r="E55" i="10"/>
  <c r="H55" i="10" s="1"/>
  <c r="F55" i="10"/>
  <c r="I55" i="10" s="1"/>
  <c r="F49" i="10"/>
  <c r="I49" i="10" s="1"/>
  <c r="E49" i="10"/>
  <c r="H49" i="10" s="1"/>
  <c r="E108" i="10"/>
  <c r="H108" i="10" s="1"/>
  <c r="D21" i="10"/>
  <c r="F21" i="10" s="1"/>
  <c r="E112" i="10"/>
  <c r="H112" i="10" s="1"/>
  <c r="E114" i="10"/>
  <c r="H114" i="10" s="1"/>
  <c r="E13" i="10" l="1"/>
  <c r="E11" i="10"/>
  <c r="D13" i="10"/>
  <c r="E9" i="10"/>
  <c r="D12" i="10"/>
  <c r="D10" i="10"/>
  <c r="F10" i="10" s="1"/>
  <c r="D9" i="10"/>
  <c r="D8" i="10"/>
  <c r="D11" i="10"/>
  <c r="E10" i="10"/>
  <c r="E8" i="10"/>
  <c r="E12" i="10"/>
  <c r="F12" i="10" l="1"/>
  <c r="F11" i="10"/>
  <c r="F13" i="10"/>
  <c r="E22" i="10"/>
  <c r="F8" i="10"/>
  <c r="D22" i="10"/>
  <c r="F9" i="10"/>
  <c r="F22" i="10" l="1"/>
  <c r="H6" i="10" l="1"/>
</calcChain>
</file>

<file path=xl/sharedStrings.xml><?xml version="1.0" encoding="utf-8"?>
<sst xmlns="http://schemas.openxmlformats.org/spreadsheetml/2006/main" count="82" uniqueCount="48">
  <si>
    <t>Увеличение поглощения парниковых газов в результате реализации проекта</t>
  </si>
  <si>
    <t>Итого</t>
  </si>
  <si>
    <t>Дни</t>
  </si>
  <si>
    <t>Месяц</t>
  </si>
  <si>
    <t>Год</t>
  </si>
  <si>
    <t>-</t>
  </si>
  <si>
    <t>2025 (ноябрь-декабрь)</t>
  </si>
  <si>
    <t>2040 (январь-октябрь)</t>
  </si>
  <si>
    <t>Обработка руды трубки «Интернациональная»</t>
  </si>
  <si>
    <t>По годам</t>
  </si>
  <si>
    <t>По месяцам</t>
  </si>
  <si>
    <t>План обработки руды ОФ№3 в 2026 году (утв. Гл. экспертом УПП)</t>
  </si>
  <si>
    <t>По году: Календарный график до 2042г по отработке запасов кимберлитов; По месяцу: экстраполяция на основании данных за 2026 год</t>
  </si>
  <si>
    <t>Обработка руды трубки «Интернациональная» по месяцам 2026 г, %</t>
  </si>
  <si>
    <t>Года</t>
  </si>
  <si>
    <t>Месяцы</t>
  </si>
  <si>
    <r>
      <t>Поглощение CO</t>
    </r>
    <r>
      <rPr>
        <vertAlign val="subscript"/>
        <sz val="10"/>
        <color theme="1"/>
        <rFont val="Arial"/>
        <family val="2"/>
        <charset val="204"/>
      </rPr>
      <t>2</t>
    </r>
    <r>
      <rPr>
        <sz val="10"/>
        <color theme="1"/>
        <rFont val="Arial"/>
        <family val="2"/>
        <charset val="204"/>
      </rPr>
      <t xml:space="preserve"> за весь период, %</t>
    </r>
  </si>
  <si>
    <r>
      <t>Поглощение CO</t>
    </r>
    <r>
      <rPr>
        <vertAlign val="subscript"/>
        <sz val="10"/>
        <color theme="1"/>
        <rFont val="Arial"/>
        <family val="2"/>
        <charset val="204"/>
      </rPr>
      <t>2</t>
    </r>
    <r>
      <rPr>
        <sz val="10"/>
        <color theme="1"/>
        <rFont val="Arial"/>
        <family val="2"/>
        <charset val="204"/>
      </rPr>
      <t xml:space="preserve"> за месяц %</t>
    </r>
  </si>
  <si>
    <r>
      <t>Поглощение CO</t>
    </r>
    <r>
      <rPr>
        <vertAlign val="subscript"/>
        <sz val="10"/>
        <color theme="1"/>
        <rFont val="Arial"/>
        <family val="2"/>
        <charset val="204"/>
      </rPr>
      <t>2</t>
    </r>
    <r>
      <rPr>
        <sz val="10"/>
        <color theme="1"/>
        <rFont val="Arial"/>
        <family val="2"/>
        <charset val="204"/>
      </rPr>
      <t xml:space="preserve"> за месяц, т CO</t>
    </r>
    <r>
      <rPr>
        <vertAlign val="subscript"/>
        <sz val="10"/>
        <color theme="1"/>
        <rFont val="Arial"/>
        <family val="2"/>
        <charset val="204"/>
      </rPr>
      <t>2</t>
    </r>
    <r>
      <rPr>
        <sz val="10"/>
        <color theme="1"/>
        <rFont val="Arial"/>
        <family val="2"/>
        <charset val="204"/>
      </rPr>
      <t>/т</t>
    </r>
  </si>
  <si>
    <r>
      <t>г CO</t>
    </r>
    <r>
      <rPr>
        <vertAlign val="subscript"/>
        <sz val="10"/>
        <color rgb="FF000000"/>
        <rFont val="Arial"/>
        <family val="2"/>
        <charset val="204"/>
      </rPr>
      <t>2</t>
    </r>
    <r>
      <rPr>
        <sz val="10"/>
        <color rgb="FF000000"/>
        <rFont val="Arial"/>
        <family val="2"/>
        <charset val="204"/>
      </rPr>
      <t>/100 г/сут</t>
    </r>
    <r>
      <rPr>
        <vertAlign val="superscript"/>
        <sz val="10"/>
        <color rgb="FF000000"/>
        <rFont val="Arial"/>
        <family val="2"/>
        <charset val="204"/>
      </rPr>
      <t>0.5</t>
    </r>
  </si>
  <si>
    <t>Кинетический коэффициент =</t>
  </si>
  <si>
    <t>Поглощение (% от переработанной руды) = 0.2*корень(время, сут)</t>
  </si>
  <si>
    <t>Источник</t>
  </si>
  <si>
    <t>Информационный отчет по теме «Исследования карбонизации отработанной руды трубки Интернациональная при подледном складировании в хвостохранилище и разработка методики количественного определения поглощения углекислого газа на хвостохранилище Мирнинско-Нюрбинского ГОКа»</t>
  </si>
  <si>
    <t>Исходные данные</t>
  </si>
  <si>
    <r>
      <t>Увеличение поглощения ПГ в результате проектной деятельности c учетом неопределенности оценки, т CO</t>
    </r>
    <r>
      <rPr>
        <vertAlign val="subscript"/>
        <sz val="10"/>
        <color theme="1"/>
        <rFont val="Arial"/>
        <family val="2"/>
        <charset val="204"/>
      </rPr>
      <t>2</t>
    </r>
  </si>
  <si>
    <t>Масса переработанного кимберлита, т</t>
  </si>
  <si>
    <r>
      <t>Поглощение ПГ</t>
    </r>
    <r>
      <rPr>
        <sz val="10"/>
        <color rgb="FF0D0D0D"/>
        <rFont val="Arial"/>
        <family val="2"/>
        <charset val="204"/>
      </rPr>
      <t xml:space="preserve"> по проектному сценарию</t>
    </r>
    <r>
      <rPr>
        <sz val="10"/>
        <color theme="1"/>
        <rFont val="Arial"/>
        <family val="2"/>
        <charset val="204"/>
      </rPr>
      <t>, т CO</t>
    </r>
    <r>
      <rPr>
        <vertAlign val="subscript"/>
        <sz val="10"/>
        <color theme="1"/>
        <rFont val="Arial"/>
        <family val="2"/>
        <charset val="204"/>
      </rPr>
      <t>2</t>
    </r>
  </si>
  <si>
    <r>
      <t>Поглощение ПГ</t>
    </r>
    <r>
      <rPr>
        <sz val="10"/>
        <color rgb="FF0D0D0D"/>
        <rFont val="Arial"/>
        <family val="2"/>
        <charset val="204"/>
      </rPr>
      <t xml:space="preserve"> по базовому сценарию, </t>
    </r>
    <r>
      <rPr>
        <sz val="10"/>
        <color theme="1"/>
        <rFont val="Arial"/>
        <family val="2"/>
        <charset val="204"/>
      </rPr>
      <t>т CO</t>
    </r>
    <r>
      <rPr>
        <vertAlign val="subscript"/>
        <sz val="10"/>
        <color theme="1"/>
        <rFont val="Arial"/>
        <family val="2"/>
        <charset val="204"/>
      </rPr>
      <t>2</t>
    </r>
  </si>
  <si>
    <t>Приложение 1 Информационного отчета по теме «Исследования карбонизации отработанной руды трубки Интернациональная при подледном складировании в хвостохранилище и разработка методики количественного определения поглощения углекислого газа на хвостохранилище Мирнинско-Нюрбинского ГОКа»</t>
  </si>
  <si>
    <r>
      <t>700 т СО</t>
    </r>
    <r>
      <rPr>
        <i/>
        <vertAlign val="subscript"/>
        <sz val="10"/>
        <color theme="1"/>
        <rFont val="Arial"/>
        <family val="2"/>
        <charset val="204"/>
      </rPr>
      <t>2</t>
    </r>
    <r>
      <rPr>
        <i/>
        <sz val="10"/>
        <color theme="1"/>
        <rFont val="Arial"/>
        <family val="2"/>
        <charset val="204"/>
      </rPr>
      <t xml:space="preserve"> – не ежегодное связывание, а суммарный потенциал системы.</t>
    </r>
  </si>
  <si>
    <t>Неопределенность =</t>
  </si>
  <si>
    <r>
      <t>Общее увеличение поглощения ПГ, т CO</t>
    </r>
    <r>
      <rPr>
        <vertAlign val="subscript"/>
        <sz val="10"/>
        <color theme="1"/>
        <rFont val="Arial"/>
        <family val="2"/>
        <charset val="204"/>
      </rPr>
      <t>2</t>
    </r>
  </si>
  <si>
    <r>
      <t>Среднегодовое увеличение поглощения ПГ, т CO</t>
    </r>
    <r>
      <rPr>
        <vertAlign val="subscript"/>
        <sz val="10"/>
        <color theme="1"/>
        <rFont val="Arial"/>
        <family val="2"/>
        <charset val="204"/>
      </rPr>
      <t>2</t>
    </r>
  </si>
  <si>
    <r>
      <t>Поглощение ПГ</t>
    </r>
    <r>
      <rPr>
        <sz val="10"/>
        <color rgb="FF0D0D0D"/>
        <rFont val="Arial"/>
        <family val="2"/>
        <charset val="204"/>
      </rPr>
      <t xml:space="preserve"> по базовому сценарию</t>
    </r>
    <r>
      <rPr>
        <sz val="10"/>
        <color theme="1"/>
        <rFont val="Arial"/>
        <family val="2"/>
        <charset val="204"/>
      </rPr>
      <t>, т CO</t>
    </r>
    <r>
      <rPr>
        <vertAlign val="subscript"/>
        <sz val="10"/>
        <color theme="1"/>
        <rFont val="Arial"/>
        <family val="2"/>
        <charset val="204"/>
      </rPr>
      <t>2</t>
    </r>
  </si>
  <si>
    <t>Коэффициент накопления в расчете на 1 год (365 дней) =</t>
  </si>
  <si>
    <t>%</t>
  </si>
  <si>
    <t>округление вниз</t>
  </si>
  <si>
    <t>округление вверх</t>
  </si>
  <si>
    <t>Понижающий коэффициент k</t>
  </si>
  <si>
    <t>С учетом понижающего коэффициента</t>
  </si>
  <si>
    <t xml:space="preserve">В рамках мониторинга фактический коэффициент k будет определен в ходе НИОКР «Лабораторное моделирование процесса поглощения углекислого газа в контролируемых условиях», Этап 1. </t>
  </si>
  <si>
    <t>Акт о складировании хвостовых продуктов обогатительной фабрики №3 в период 2025-2026 года</t>
  </si>
  <si>
    <t>Неопределенность исходных данных</t>
  </si>
  <si>
    <t>Объединенная неопределенность</t>
  </si>
  <si>
    <t>Неопределенность коэффициента поглощения</t>
  </si>
  <si>
    <r>
      <t>По итогам месяца маркшейдерская служба проводит инструментальные замеры фактических объемов руды на складах. Если расхождение с оперативными данными по складированию составляет</t>
    </r>
    <r>
      <rPr>
        <b/>
        <sz val="11"/>
        <color theme="1"/>
        <rFont val="Arial"/>
        <family val="2"/>
        <charset val="204"/>
      </rPr>
      <t xml:space="preserve"> от 2%</t>
    </r>
    <r>
      <rPr>
        <sz val="11"/>
        <color theme="1"/>
        <rFont val="Arial"/>
        <family val="2"/>
        <charset val="204"/>
      </rPr>
      <t>,  в справочники МЕS вносятся изменения .</t>
    </r>
  </si>
  <si>
    <r>
      <t>Увеличение поглощения ПГ в результате проектной деятельности без учета неопределенности оценки, т CO</t>
    </r>
    <r>
      <rPr>
        <vertAlign val="subscript"/>
        <sz val="10"/>
        <color theme="1"/>
        <rFont val="Arial"/>
        <family val="2"/>
        <charset val="20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</si>
</sst>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₽_-;\-* #,##0\ _₽_-;_-* &quot;-&quot;??\ _₽_-;_-@_-"/>
    <numFmt numFmtId="165" formatCode="0.000000"/>
    <numFmt numFmtId="166" formatCode="0.0"/>
    <numFmt numFmtId="167" formatCode="0.000"/>
    <numFmt numFmtId="168" formatCode="0.0%"/>
    <numFmt numFmtId="169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D0D0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1"/>
      <color theme="1"/>
      <name val="Arial"/>
      <family val="2"/>
      <charset val="204"/>
    </font>
    <font>
      <vertAlign val="subscript"/>
      <sz val="10"/>
      <color rgb="FF000000"/>
      <name val="Arial"/>
      <family val="2"/>
      <charset val="204"/>
    </font>
    <font>
      <vertAlign val="superscript"/>
      <sz val="10"/>
      <color rgb="FF000000"/>
      <name val="Arial"/>
      <family val="2"/>
      <charset val="204"/>
    </font>
    <font>
      <vertAlign val="sub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bscript"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4E4EF"/>
        <bgColor indexed="64"/>
      </patternFill>
    </fill>
    <fill>
      <patternFill patternType="solid">
        <fgColor rgb="FFCAC5F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/>
    <xf numFmtId="0" fontId="8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9" fontId="8" fillId="0" borderId="11" xfId="2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0" xfId="3" applyFont="1"/>
    <xf numFmtId="4" fontId="3" fillId="0" borderId="1" xfId="3" applyNumberFormat="1" applyFont="1" applyBorder="1" applyAlignment="1">
      <alignment horizontal="center" vertical="center"/>
    </xf>
    <xf numFmtId="0" fontId="3" fillId="0" borderId="0" xfId="3" applyFont="1" applyAlignment="1">
      <alignment horizontal="center"/>
    </xf>
    <xf numFmtId="165" fontId="3" fillId="0" borderId="1" xfId="3" applyNumberFormat="1" applyFont="1" applyBorder="1" applyAlignment="1">
      <alignment horizontal="center" vertical="center"/>
    </xf>
    <xf numFmtId="2" fontId="3" fillId="0" borderId="15" xfId="3" applyNumberFormat="1" applyFont="1" applyBorder="1" applyAlignment="1">
      <alignment horizontal="center" vertical="center"/>
    </xf>
    <xf numFmtId="0" fontId="5" fillId="0" borderId="13" xfId="3" applyFont="1" applyBorder="1" applyAlignment="1">
      <alignment vertical="center"/>
    </xf>
    <xf numFmtId="0" fontId="3" fillId="0" borderId="5" xfId="3" applyFont="1" applyBorder="1" applyAlignment="1">
      <alignment vertical="center"/>
    </xf>
    <xf numFmtId="0" fontId="3" fillId="0" borderId="11" xfId="3" applyFont="1" applyBorder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12" fillId="0" borderId="0" xfId="0" applyFont="1"/>
    <xf numFmtId="9" fontId="3" fillId="0" borderId="8" xfId="3" applyNumberFormat="1" applyFont="1" applyBorder="1" applyAlignment="1">
      <alignment horizontal="center" vertical="center"/>
    </xf>
    <xf numFmtId="0" fontId="3" fillId="0" borderId="9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0" fontId="8" fillId="0" borderId="0" xfId="0" applyFont="1" applyAlignment="1">
      <alignment horizontal="left"/>
    </xf>
    <xf numFmtId="3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7" fontId="3" fillId="0" borderId="8" xfId="3" applyNumberFormat="1" applyFont="1" applyBorder="1" applyAlignment="1">
      <alignment horizontal="center" vertical="center"/>
    </xf>
    <xf numFmtId="0" fontId="5" fillId="0" borderId="3" xfId="3" applyFont="1" applyBorder="1" applyAlignment="1">
      <alignment vertical="center"/>
    </xf>
    <xf numFmtId="166" fontId="3" fillId="0" borderId="10" xfId="3" applyNumberFormat="1" applyFont="1" applyBorder="1" applyAlignment="1">
      <alignment horizontal="center" vertical="center"/>
    </xf>
    <xf numFmtId="0" fontId="5" fillId="0" borderId="11" xfId="3" applyFont="1" applyBorder="1" applyAlignment="1">
      <alignment vertical="center"/>
    </xf>
    <xf numFmtId="0" fontId="12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168" fontId="3" fillId="0" borderId="1" xfId="2" applyNumberFormat="1" applyFont="1" applyBorder="1" applyAlignment="1">
      <alignment vertical="center"/>
    </xf>
    <xf numFmtId="169" fontId="3" fillId="0" borderId="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3" fillId="0" borderId="14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12" xfId="3" applyFont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9" xfId="3" applyFont="1" applyBorder="1" applyAlignment="1">
      <alignment vertical="center" wrapText="1"/>
    </xf>
    <xf numFmtId="0" fontId="3" fillId="0" borderId="10" xfId="3" applyFont="1" applyBorder="1" applyAlignment="1">
      <alignment vertical="center" wrapText="1"/>
    </xf>
    <xf numFmtId="0" fontId="3" fillId="0" borderId="2" xfId="3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12" xfId="3" applyFont="1" applyBorder="1" applyAlignment="1">
      <alignment horizontal="left" vertical="center" wrapText="1"/>
    </xf>
    <xf numFmtId="0" fontId="3" fillId="0" borderId="13" xfId="3" applyFont="1" applyBorder="1" applyAlignment="1">
      <alignment horizontal="left" vertical="center" wrapText="1"/>
    </xf>
    <xf numFmtId="0" fontId="3" fillId="0" borderId="14" xfId="3" applyFont="1" applyBorder="1" applyAlignment="1">
      <alignment horizontal="left" vertical="center" wrapText="1"/>
    </xf>
    <xf numFmtId="0" fontId="3" fillId="0" borderId="5" xfId="3" applyFont="1" applyBorder="1" applyAlignment="1">
      <alignment horizontal="left" vertical="center" wrapText="1"/>
    </xf>
    <xf numFmtId="3" fontId="8" fillId="0" borderId="6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left" vertical="center" wrapText="1"/>
    </xf>
    <xf numFmtId="3" fontId="8" fillId="0" borderId="7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 wrapText="1"/>
    </xf>
    <xf numFmtId="0" fontId="3" fillId="0" borderId="1" xfId="3" applyFont="1" applyBorder="1" applyAlignment="1">
      <alignment horizontal="center" vertical="center" wrapText="1"/>
    </xf>
    <xf numFmtId="9" fontId="3" fillId="0" borderId="1" xfId="3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7B35BFD2-E0E5-44AC-A7D2-D8ADA2757235}"/>
    <cellStyle name="Обычный 3" xfId="3" xr:uid="{5CB25D14-BFA5-491E-85CD-60077DD2C23C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12700</xdr:colOff>
      <xdr:row>4</xdr:row>
      <xdr:rowOff>25400</xdr:rowOff>
    </xdr:from>
    <xdr:ext cx="5835649" cy="179568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C0441A5-3AF8-40F0-8D9C-369AEF002ABC}"/>
            </a:ext>
          </a:extLst>
        </xdr:cNvPr>
        <xdr:cNvSpPr txBox="1"/>
      </xdr:nvSpPr>
      <xdr:spPr>
        <a:xfrm>
          <a:off x="622300" y="1866900"/>
          <a:ext cx="5835649" cy="179568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Наличие песков (хвостов россыпей) приводит к формированию в водной среде хвостохранилища устойчивого минерального равновесия, благоприятного для осаждения доломита (</a:t>
          </a:r>
          <a:r>
            <a:rPr lang="en-US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CaMg</a:t>
          </a:r>
          <a:r>
            <a:rPr lang="ru-RU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</a:t>
          </a:r>
          <a:r>
            <a:rPr lang="en-US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</a:t>
          </a:r>
          <a:r>
            <a:rPr lang="ru-RU" sz="1050" baseline="-25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ru-RU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  <a:r>
            <a:rPr lang="ru-RU" sz="1050" baseline="-25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ru-RU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). Согласно расчетам, представленным в Методике расчета поглощения углекислого газа для хвостохранилища МНГОК в отсутствие реализации проектных мероприятий, в водах хвостохранилища содержится порядка 700 т СО</a:t>
          </a:r>
          <a:r>
            <a:rPr lang="ru-RU" sz="1050" baseline="-25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ru-RU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Образующийся доломит формируется преимущественно за счет перераспределения уже растворенного неорганического углерода в системе «вода-хвосты». Прямое поглощение атмосферного CO</a:t>
          </a:r>
          <a:r>
            <a:rPr lang="ru-RU" sz="1050" baseline="-25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ru-RU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при этом минимально или отсутствует. Однако в целях соблюдения принципа консервативности, данное значение принимается как поглощение CO</a:t>
          </a:r>
          <a:r>
            <a:rPr lang="ru-RU" sz="1050" baseline="-25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ru-RU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хвостохранилищем по базовой линии и полностью относится на 2027 год, так как это первый год, для которого прогнозируется поглощение ПГ. </a:t>
          </a:r>
          <a:endParaRPr lang="en-US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KozhinVA\AppData\Local\Microsoft\Windows\INetCache\Content.Outlook\3CGOB1VC\&#1040;&#1083;&#1084;&#1072;&#1079;&#1076;&#1086;&#1088;&#1090;&#1088;&#1072;&#1085;&#1089;_Scope3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melia%20Hamdi-Cherif\AppData\Local\Microsoft\Windows\INetCache\Content.Outlook\QLFG1DNE\GHG%20Emissions%20Calculation%20Tool_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wri-my.sharepoint.com/Users/NoorShaikh/Desktop/Anthesis%20Documents/GHG%20Inventory%20Tool_2020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 по заполнению"/>
      <sheetName val="Example_parameters"/>
      <sheetName val="Scope 3 &gt;&gt;"/>
      <sheetName val="Приобретенные товары и услуги"/>
      <sheetName val="Основные средства"/>
      <sheetName val="Топливо и энергетика"/>
      <sheetName val="Country"/>
      <sheetName val="Деловые поездки сотрудников"/>
      <sheetName val="Поездки персонала на работу"/>
      <sheetName val="Franchises"/>
      <sheetName val="ADMIN &gt;&gt;"/>
      <sheetName val="Units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G1">
            <v>149</v>
          </cell>
          <cell r="W1">
            <v>52</v>
          </cell>
          <cell r="AE1">
            <v>107</v>
          </cell>
          <cell r="AM1">
            <v>59</v>
          </cell>
          <cell r="AV1">
            <v>53</v>
          </cell>
          <cell r="BD1">
            <v>450</v>
          </cell>
        </row>
        <row r="2">
          <cell r="B2" t="str">
            <v>drng_Country</v>
          </cell>
          <cell r="E2" t="str">
            <v>Список соответствий</v>
          </cell>
          <cell r="G2">
            <v>150</v>
          </cell>
          <cell r="M2" t="str">
            <v>Список соответствий</v>
          </cell>
          <cell r="O2">
            <v>0</v>
          </cell>
          <cell r="R2" t="str">
            <v>drng_HotelCountry</v>
          </cell>
          <cell r="U2" t="str">
            <v>Список соответствий</v>
          </cell>
          <cell r="W2">
            <v>53</v>
          </cell>
          <cell r="Z2" t="str">
            <v>drng_PGSGoods</v>
          </cell>
          <cell r="AC2" t="str">
            <v>Список соответствий</v>
          </cell>
          <cell r="AE2">
            <v>0</v>
          </cell>
          <cell r="AH2" t="str">
            <v>drng_PGSServices</v>
          </cell>
          <cell r="AK2" t="str">
            <v>Список соответствий</v>
          </cell>
          <cell r="AM2">
            <v>55</v>
          </cell>
          <cell r="AQ2" t="str">
            <v>drng_PGSCap</v>
          </cell>
          <cell r="AT2" t="str">
            <v>Список соответствий</v>
          </cell>
          <cell r="AV2">
            <v>0</v>
          </cell>
          <cell r="AY2" t="str">
            <v>drng_PGSInv</v>
          </cell>
          <cell r="BB2" t="str">
            <v>Список соответствий</v>
          </cell>
          <cell r="BD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Instructions"/>
      <sheetName val="Parameters"/>
      <sheetName val="Emission Factors"/>
      <sheetName val="S1-Stationary Combustion"/>
      <sheetName val="S1-Mobile Combustion"/>
      <sheetName val="S1-Refrigerants"/>
      <sheetName val="S2-Purchased Electricity"/>
      <sheetName val="S3-Transportation"/>
      <sheetName val="Results Summary"/>
      <sheetName val="Dropdowns"/>
      <sheetName val="Conversions"/>
      <sheetName val="Data"/>
    </sheetNames>
    <sheetDataSet>
      <sheetData sheetId="0"/>
      <sheetData sheetId="1"/>
      <sheetData sheetId="2">
        <row r="65">
          <cell r="P65" t="str">
            <v>Example S1</v>
          </cell>
          <cell r="Q65" t="str">
            <v>Example S1 - Mobile</v>
          </cell>
          <cell r="S65" t="str">
            <v>Example S2 - heat</v>
          </cell>
          <cell r="T65" t="str">
            <v>Example S2</v>
          </cell>
          <cell r="U65" t="str">
            <v/>
          </cell>
          <cell r="V65" t="str">
            <v>Example S3</v>
          </cell>
        </row>
        <row r="66">
          <cell r="P66" t="str">
            <v/>
          </cell>
          <cell r="Q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</row>
        <row r="67">
          <cell r="P67" t="str">
            <v/>
          </cell>
          <cell r="Q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</row>
        <row r="68">
          <cell r="P68" t="str">
            <v/>
          </cell>
          <cell r="Q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</row>
        <row r="69">
          <cell r="P69" t="str">
            <v/>
          </cell>
          <cell r="Q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</row>
        <row r="70">
          <cell r="P70" t="str">
            <v/>
          </cell>
          <cell r="Q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</row>
        <row r="71">
          <cell r="P71" t="str">
            <v/>
          </cell>
          <cell r="Q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</row>
        <row r="72">
          <cell r="P72" t="str">
            <v/>
          </cell>
          <cell r="Q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</row>
        <row r="73">
          <cell r="P73" t="str">
            <v/>
          </cell>
          <cell r="Q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</row>
        <row r="74">
          <cell r="P74" t="str">
            <v/>
          </cell>
          <cell r="Q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</row>
        <row r="75">
          <cell r="P75" t="str">
            <v/>
          </cell>
          <cell r="Q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</row>
        <row r="76">
          <cell r="P76" t="str">
            <v/>
          </cell>
          <cell r="Q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</row>
        <row r="77">
          <cell r="P77" t="str">
            <v/>
          </cell>
          <cell r="Q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</row>
        <row r="78">
          <cell r="P78" t="str">
            <v/>
          </cell>
          <cell r="Q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</row>
        <row r="79">
          <cell r="P79" t="str">
            <v/>
          </cell>
          <cell r="Q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</row>
        <row r="80">
          <cell r="P80" t="str">
            <v/>
          </cell>
          <cell r="Q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</row>
        <row r="81">
          <cell r="P81" t="str">
            <v/>
          </cell>
          <cell r="Q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</row>
        <row r="82">
          <cell r="P82" t="str">
            <v/>
          </cell>
          <cell r="Q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</row>
        <row r="83">
          <cell r="P83" t="str">
            <v/>
          </cell>
          <cell r="Q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</row>
        <row r="84">
          <cell r="P84" t="str">
            <v/>
          </cell>
          <cell r="Q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</row>
        <row r="85">
          <cell r="P85" t="str">
            <v/>
          </cell>
          <cell r="Q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</row>
        <row r="86">
          <cell r="P86" t="str">
            <v/>
          </cell>
          <cell r="Q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</row>
        <row r="87">
          <cell r="P87" t="str">
            <v/>
          </cell>
          <cell r="Q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</row>
        <row r="88">
          <cell r="P88" t="str">
            <v/>
          </cell>
          <cell r="Q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</row>
        <row r="89">
          <cell r="P89" t="str">
            <v/>
          </cell>
          <cell r="Q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</row>
        <row r="90">
          <cell r="P90" t="str">
            <v/>
          </cell>
          <cell r="Q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</row>
        <row r="91">
          <cell r="P91" t="str">
            <v/>
          </cell>
          <cell r="Q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</row>
        <row r="92">
          <cell r="P92" t="str">
            <v/>
          </cell>
          <cell r="Q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</row>
        <row r="93">
          <cell r="P93" t="str">
            <v/>
          </cell>
          <cell r="Q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</row>
        <row r="94">
          <cell r="P94" t="str">
            <v/>
          </cell>
          <cell r="Q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O2" t="str">
            <v>Motor Gasoline</v>
          </cell>
          <cell r="Q2" t="str">
            <v>Upstream T&amp;D</v>
          </cell>
          <cell r="R2" t="str">
            <v>T_D</v>
          </cell>
        </row>
        <row r="3">
          <cell r="O3" t="str">
            <v>Diesel Fuel</v>
          </cell>
          <cell r="Q3" t="str">
            <v>Business Travel</v>
          </cell>
          <cell r="R3" t="str">
            <v>EC_BT</v>
          </cell>
        </row>
        <row r="4">
          <cell r="O4" t="str">
            <v>Biodiesel (100%)</v>
          </cell>
          <cell r="Q4" t="str">
            <v>Employee Commute</v>
          </cell>
          <cell r="R4" t="str">
            <v>EC_BT</v>
          </cell>
        </row>
        <row r="5">
          <cell r="O5" t="str">
            <v>Compressed Natural Gas</v>
          </cell>
        </row>
        <row r="6">
          <cell r="O6" t="str">
            <v>Ethanol (100%)</v>
          </cell>
        </row>
        <row r="7">
          <cell r="O7" t="str">
            <v>Jet Fuel</v>
          </cell>
          <cell r="S7" t="str">
            <v>Custom emission factor</v>
          </cell>
        </row>
        <row r="8">
          <cell r="O8" t="str">
            <v>Aviation Gasoline</v>
          </cell>
          <cell r="S8" t="str">
            <v>Residual Mix</v>
          </cell>
        </row>
        <row r="9">
          <cell r="S9" t="str">
            <v>Grid Average/Location Based</v>
          </cell>
        </row>
        <row r="12">
          <cell r="S12" t="str">
            <v>Custom emission factor</v>
          </cell>
        </row>
        <row r="13">
          <cell r="O13" t="str">
            <v>Motor Gasoline</v>
          </cell>
          <cell r="P13" t="str">
            <v>Motor_Gasoline</v>
          </cell>
          <cell r="S13" t="str">
            <v>Grid Average/Location Based</v>
          </cell>
        </row>
        <row r="14">
          <cell r="O14" t="str">
            <v>Diesel Fuel</v>
          </cell>
          <cell r="P14" t="str">
            <v>Diesel_Fuel</v>
          </cell>
        </row>
        <row r="15">
          <cell r="O15" t="str">
            <v>Biodiesel (100%)</v>
          </cell>
          <cell r="P15" t="str">
            <v>Biodiesel</v>
          </cell>
        </row>
        <row r="16">
          <cell r="O16" t="str">
            <v>Compressed Natural Gas</v>
          </cell>
          <cell r="P16" t="str">
            <v>CNG</v>
          </cell>
          <cell r="S16" t="str">
            <v>Custom emission factor</v>
          </cell>
        </row>
        <row r="17">
          <cell r="O17" t="str">
            <v>Ethanol (100%)</v>
          </cell>
          <cell r="P17" t="str">
            <v>Ethanol</v>
          </cell>
          <cell r="S17" t="str">
            <v>Grid Average/Location Based</v>
          </cell>
        </row>
        <row r="18">
          <cell r="O18" t="str">
            <v>Jet Fuel</v>
          </cell>
          <cell r="P18" t="str">
            <v>Jet_Fuel</v>
          </cell>
        </row>
        <row r="19">
          <cell r="O19" t="str">
            <v>Aviation Gasoline</v>
          </cell>
          <cell r="P19" t="str">
            <v>Aviation_Gasoline</v>
          </cell>
        </row>
      </sheetData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Data overview"/>
      <sheetName val="Data collection template"/>
      <sheetName val="KEY RESULTS"/>
      <sheetName val="Results facilities"/>
      <sheetName val="Results CDP"/>
      <sheetName val="Results DJSI"/>
      <sheetName val="Results GRI"/>
      <sheetName val="Parameters"/>
      <sheetName val="Facility_Info"/>
      <sheetName val="INVENTORY"/>
      <sheetName val="Emission factors"/>
      <sheetName val="Mobile EF"/>
      <sheetName val="SOURCES_US EPA"/>
      <sheetName val="SOURCES_various"/>
      <sheetName val="SOURCES_IEA"/>
      <sheetName val="Dropdowns"/>
      <sheetName val="REF_GWP"/>
      <sheetName val="REF_Conversions"/>
      <sheetName val="REF_OtherUnitConversions"/>
      <sheetName val="REF_Building_Intensity"/>
      <sheetName val="REF_Zipcodes eGR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8">
          <cell r="A8" t="str">
            <v>Emission source</v>
          </cell>
          <cell r="B8" t="str">
            <v>Standardized unit</v>
          </cell>
        </row>
        <row r="9">
          <cell r="A9" t="str">
            <v>Electricity</v>
          </cell>
          <cell r="B9" t="str">
            <v>kWh</v>
          </cell>
        </row>
        <row r="10">
          <cell r="A10" t="str">
            <v>Electricity - Residual</v>
          </cell>
          <cell r="B10" t="str">
            <v>kWh</v>
          </cell>
        </row>
        <row r="11">
          <cell r="A11" t="str">
            <v>Diesel Fuel / Distillate Fuel Oil No. 2</v>
          </cell>
          <cell r="B11" t="str">
            <v>gal (US)</v>
          </cell>
        </row>
        <row r="12">
          <cell r="A12" t="str">
            <v>Gasoline</v>
          </cell>
          <cell r="B12" t="str">
            <v>gal (US)</v>
          </cell>
        </row>
        <row r="13">
          <cell r="A13" t="str">
            <v>Natural Gas</v>
          </cell>
          <cell r="B13" t="str">
            <v>therm</v>
          </cell>
        </row>
        <row r="14">
          <cell r="A14" t="str">
            <v>Propane</v>
          </cell>
          <cell r="B14" t="str">
            <v>gal (US)</v>
          </cell>
        </row>
        <row r="15">
          <cell r="A15" t="str">
            <v>Liquefied Petroleum Gases (LPG)</v>
          </cell>
          <cell r="B15" t="str">
            <v>gal (US)</v>
          </cell>
        </row>
        <row r="16">
          <cell r="A16" t="str">
            <v>Residual Fuel Oil No. 6</v>
          </cell>
          <cell r="B16" t="str">
            <v>gal (US)</v>
          </cell>
        </row>
        <row r="17">
          <cell r="A17" t="str">
            <v>Kerosene</v>
          </cell>
          <cell r="B17" t="str">
            <v>gal (US)</v>
          </cell>
        </row>
        <row r="18">
          <cell r="A18" t="str">
            <v>Landfill Gas</v>
          </cell>
          <cell r="B18" t="str">
            <v>mmBtu</v>
          </cell>
        </row>
        <row r="19">
          <cell r="A19" t="str">
            <v>Other Biomass Gases</v>
          </cell>
          <cell r="B19" t="str">
            <v>mmBtu</v>
          </cell>
        </row>
        <row r="20">
          <cell r="A20" t="str">
            <v>Biodiesel (100%)</v>
          </cell>
          <cell r="B20" t="str">
            <v>gal (US)</v>
          </cell>
        </row>
        <row r="21">
          <cell r="A21" t="str">
            <v>Ethanol (100%)</v>
          </cell>
          <cell r="B21" t="str">
            <v>gal (US)</v>
          </cell>
        </row>
        <row r="22">
          <cell r="A22" t="str">
            <v>Refrigerants</v>
          </cell>
          <cell r="B22" t="str">
            <v>kg</v>
          </cell>
        </row>
        <row r="23">
          <cell r="A23" t="str">
            <v>Aviation Gasoline</v>
          </cell>
          <cell r="B23" t="str">
            <v>gal (US)</v>
          </cell>
        </row>
        <row r="24">
          <cell r="A24" t="str">
            <v>Jet Fuel</v>
          </cell>
          <cell r="B24" t="str">
            <v>gal (US)</v>
          </cell>
        </row>
        <row r="25">
          <cell r="A25" t="str">
            <v>Purchased heat  / steam</v>
          </cell>
          <cell r="B25" t="str">
            <v>mmBtu</v>
          </cell>
        </row>
        <row r="26">
          <cell r="A26" t="str">
            <v>Chilled Water</v>
          </cell>
          <cell r="B26" t="str">
            <v>mmBtu</v>
          </cell>
        </row>
        <row r="27">
          <cell r="A27" t="str">
            <v>Motor Gasoline - Mobile</v>
          </cell>
          <cell r="B27" t="str">
            <v>gal (US)</v>
          </cell>
        </row>
        <row r="28">
          <cell r="A28" t="str">
            <v>Diesel Fuel - Mobile</v>
          </cell>
          <cell r="B28" t="str">
            <v>gal (US)</v>
          </cell>
        </row>
        <row r="29">
          <cell r="A29" t="str">
            <v>Biodiesel (100%) - Mobile</v>
          </cell>
          <cell r="B29" t="str">
            <v>gal (US)</v>
          </cell>
        </row>
        <row r="30">
          <cell r="A30" t="str">
            <v>Compressed Natural Gas - Mobile</v>
          </cell>
          <cell r="B30" t="str">
            <v>scf</v>
          </cell>
        </row>
        <row r="31">
          <cell r="A31" t="str">
            <v>Ethanol (100%) - Mobile</v>
          </cell>
          <cell r="B31" t="str">
            <v>gal (US)</v>
          </cell>
        </row>
        <row r="32">
          <cell r="A32" t="str">
            <v>Jet Fuel - Mobile</v>
          </cell>
          <cell r="B32" t="str">
            <v>gal (US)</v>
          </cell>
        </row>
        <row r="33">
          <cell r="A33" t="str">
            <v>Aviation Gasoline - Mobile</v>
          </cell>
          <cell r="B33" t="str">
            <v>gal (US)</v>
          </cell>
        </row>
        <row r="34">
          <cell r="A34" t="str">
            <v>Electricity - Mobile</v>
          </cell>
          <cell r="B34" t="str">
            <v>kWh</v>
          </cell>
        </row>
        <row r="35">
          <cell r="A35" t="str">
            <v>Air travel -  Short Haul (&lt;300 miles)</v>
          </cell>
          <cell r="B35" t="str">
            <v>passenger-mile</v>
          </cell>
        </row>
        <row r="36">
          <cell r="A36" t="str">
            <v>Air Travel - Medium Haul (&gt;= 300 miles, &lt; 2300 miles) - Average passenger</v>
          </cell>
          <cell r="B36" t="str">
            <v>passenger-mile</v>
          </cell>
        </row>
        <row r="37">
          <cell r="A37" t="str">
            <v>Air Travel - Medium Haul (&gt;= 300 miles, &lt; 2300 miles) - Economy class</v>
          </cell>
          <cell r="B37" t="str">
            <v>passenger-mile</v>
          </cell>
        </row>
        <row r="38">
          <cell r="A38" t="str">
            <v>Air Travel - Medium Haul (&gt;= 300 miles, &lt; 2300 miles) - Business class</v>
          </cell>
          <cell r="B38" t="str">
            <v>passenger-mile</v>
          </cell>
        </row>
        <row r="39">
          <cell r="A39" t="str">
            <v>Air Travel - Long Haul (&gt;= 2300 miles) - Average passenger</v>
          </cell>
          <cell r="B39" t="str">
            <v>passenger-mile</v>
          </cell>
        </row>
        <row r="40">
          <cell r="A40" t="str">
            <v>Air Travel - Long Haul (&gt;= 2300 miles) - Economy passenger</v>
          </cell>
          <cell r="B40" t="str">
            <v>passenger-mile</v>
          </cell>
        </row>
        <row r="41">
          <cell r="A41" t="str">
            <v>Air Travel - Long Haul (&gt;= 2300 miles) - Premium economy class</v>
          </cell>
          <cell r="B41" t="str">
            <v>passenger-mile</v>
          </cell>
        </row>
        <row r="42">
          <cell r="A42" t="str">
            <v>Air Travel - Long Haul (&gt;= 2300 miles) - Business class</v>
          </cell>
          <cell r="B42" t="str">
            <v>passenger-mile</v>
          </cell>
        </row>
        <row r="43">
          <cell r="A43" t="str">
            <v>Air Travel - Long Haul (&gt;= 2300 miles) - First class</v>
          </cell>
          <cell r="B43" t="str">
            <v>passenger-mile</v>
          </cell>
        </row>
        <row r="44">
          <cell r="A44" t="str">
            <v>Passenger Car - Business travel</v>
          </cell>
          <cell r="B44" t="str">
            <v>vehicle-mile</v>
          </cell>
        </row>
        <row r="45">
          <cell r="A45" t="str">
            <v>Light-Duty Truck - Business travel</v>
          </cell>
          <cell r="B45" t="str">
            <v>vehicle-mile</v>
          </cell>
        </row>
        <row r="46">
          <cell r="A46" t="str">
            <v>Motorcycle - Business travel</v>
          </cell>
          <cell r="B46" t="str">
            <v>vehicle-mile</v>
          </cell>
        </row>
        <row r="47">
          <cell r="A47" t="str">
            <v>Intercity Rail (i.e. Amtrak) - Business travel</v>
          </cell>
          <cell r="B47" t="str">
            <v>passenger-mile</v>
          </cell>
        </row>
        <row r="48">
          <cell r="A48" t="str">
            <v>Commuter Rail - Business travel</v>
          </cell>
          <cell r="B48" t="str">
            <v>passenger-mile</v>
          </cell>
        </row>
        <row r="49">
          <cell r="A49" t="str">
            <v>Transit Rail (i.e. Subway, Tram) - Business travel</v>
          </cell>
          <cell r="B49" t="str">
            <v>passenger-mile</v>
          </cell>
        </row>
        <row r="50">
          <cell r="A50" t="str">
            <v>Bus - Business travel</v>
          </cell>
          <cell r="B50" t="str">
            <v>passenger-mile</v>
          </cell>
        </row>
        <row r="51">
          <cell r="A51" t="str">
            <v>Data Center PUE</v>
          </cell>
          <cell r="B51" t="str">
            <v>kWh</v>
          </cell>
        </row>
        <row r="52">
          <cell r="A52" t="str">
            <v>Hotel stay Average</v>
          </cell>
          <cell r="B52" t="str">
            <v>room per night</v>
          </cell>
        </row>
        <row r="53">
          <cell r="A53" t="str">
            <v>Hotel stay EUROPE</v>
          </cell>
          <cell r="B53" t="str">
            <v>room per night</v>
          </cell>
        </row>
        <row r="54">
          <cell r="A54" t="str">
            <v>Hotel stay MEA</v>
          </cell>
          <cell r="B54" t="str">
            <v>room per night</v>
          </cell>
        </row>
        <row r="55">
          <cell r="A55" t="str">
            <v>Hotel stay AMER</v>
          </cell>
          <cell r="B55" t="str">
            <v>room per night</v>
          </cell>
        </row>
        <row r="56">
          <cell r="A56" t="str">
            <v>Hotel stay APAC</v>
          </cell>
          <cell r="B56" t="str">
            <v>room per night</v>
          </cell>
        </row>
        <row r="57">
          <cell r="A57" t="str">
            <v>Hotel stay Argentina</v>
          </cell>
          <cell r="B57" t="str">
            <v>room per night</v>
          </cell>
        </row>
        <row r="58">
          <cell r="A58" t="str">
            <v>Hotel stay Australia</v>
          </cell>
          <cell r="B58" t="str">
            <v>room per night</v>
          </cell>
        </row>
        <row r="59">
          <cell r="A59" t="str">
            <v>Hotel stay Austria</v>
          </cell>
          <cell r="B59" t="str">
            <v>room per night</v>
          </cell>
        </row>
        <row r="60">
          <cell r="A60" t="str">
            <v>Hotel stay Belgium</v>
          </cell>
          <cell r="B60" t="str">
            <v>room per night</v>
          </cell>
        </row>
        <row r="61">
          <cell r="A61" t="str">
            <v>Hotel stay Brazil</v>
          </cell>
          <cell r="B61" t="str">
            <v>room per night</v>
          </cell>
        </row>
        <row r="62">
          <cell r="A62" t="str">
            <v>Hotel stay Canada</v>
          </cell>
          <cell r="B62" t="str">
            <v>room per night</v>
          </cell>
        </row>
        <row r="63">
          <cell r="A63" t="str">
            <v>Hotel stay Caribbean Region</v>
          </cell>
          <cell r="B63" t="str">
            <v>room per night</v>
          </cell>
        </row>
        <row r="64">
          <cell r="A64" t="str">
            <v>Hotel stay Chile</v>
          </cell>
          <cell r="B64" t="str">
            <v>room per night</v>
          </cell>
        </row>
        <row r="65">
          <cell r="A65" t="str">
            <v>Hotel stay China</v>
          </cell>
          <cell r="B65" t="str">
            <v>room per night</v>
          </cell>
        </row>
        <row r="66">
          <cell r="A66" t="str">
            <v>Hotel stay China (Hong Kong)</v>
          </cell>
          <cell r="B66" t="str">
            <v>room per night</v>
          </cell>
        </row>
        <row r="67">
          <cell r="A67" t="str">
            <v>Hotel stay Colombia</v>
          </cell>
          <cell r="B67" t="str">
            <v>room per night</v>
          </cell>
        </row>
        <row r="68">
          <cell r="A68" t="str">
            <v>Hotel stay Costa Rica</v>
          </cell>
          <cell r="B68" t="str">
            <v>room per night</v>
          </cell>
        </row>
        <row r="69">
          <cell r="A69" t="str">
            <v>Hotel stay Czech Republic</v>
          </cell>
          <cell r="B69" t="str">
            <v>room per night</v>
          </cell>
        </row>
        <row r="70">
          <cell r="A70" t="str">
            <v>Hotel stay Egypt</v>
          </cell>
          <cell r="B70" t="str">
            <v>room per night</v>
          </cell>
        </row>
        <row r="71">
          <cell r="A71" t="str">
            <v>Hotel stay France</v>
          </cell>
          <cell r="B71" t="str">
            <v>room per night</v>
          </cell>
        </row>
        <row r="72">
          <cell r="A72" t="str">
            <v>Hotel stay Germany</v>
          </cell>
          <cell r="B72" t="str">
            <v>room per night</v>
          </cell>
        </row>
        <row r="73">
          <cell r="A73" t="str">
            <v>Hotel stay Greece</v>
          </cell>
          <cell r="B73" t="str">
            <v>room per night</v>
          </cell>
        </row>
        <row r="74">
          <cell r="A74" t="str">
            <v>Hotel stay India</v>
          </cell>
          <cell r="B74" t="str">
            <v>room per night</v>
          </cell>
        </row>
        <row r="75">
          <cell r="A75" t="str">
            <v>Hotel stay Indonesia</v>
          </cell>
          <cell r="B75" t="str">
            <v>room per night</v>
          </cell>
        </row>
        <row r="76">
          <cell r="A76" t="str">
            <v>Hotel stay Ireland</v>
          </cell>
          <cell r="B76" t="str">
            <v>room per night</v>
          </cell>
        </row>
        <row r="77">
          <cell r="A77" t="str">
            <v>Hotel stay Israel</v>
          </cell>
          <cell r="B77" t="str">
            <v>room per night</v>
          </cell>
        </row>
        <row r="78">
          <cell r="A78" t="str">
            <v>Hotel stay Italy</v>
          </cell>
          <cell r="B78" t="str">
            <v>room per night</v>
          </cell>
        </row>
        <row r="79">
          <cell r="A79" t="str">
            <v>Hotel stay Japan</v>
          </cell>
          <cell r="B79" t="str">
            <v>room per night</v>
          </cell>
        </row>
        <row r="80">
          <cell r="A80" t="str">
            <v>Hotel stay Jordan</v>
          </cell>
          <cell r="B80" t="str">
            <v>room per night</v>
          </cell>
        </row>
        <row r="81">
          <cell r="A81" t="str">
            <v>Hotel stay Malaysia</v>
          </cell>
          <cell r="B81" t="str">
            <v>room per night</v>
          </cell>
        </row>
        <row r="82">
          <cell r="A82" t="str">
            <v>Hotel stay Mexico</v>
          </cell>
          <cell r="B82" t="str">
            <v>room per night</v>
          </cell>
        </row>
        <row r="83">
          <cell r="A83" t="str">
            <v>Hotel stay Netherlands</v>
          </cell>
          <cell r="B83" t="str">
            <v>room per night</v>
          </cell>
        </row>
        <row r="84">
          <cell r="A84" t="str">
            <v>Hotel stay New Zealand</v>
          </cell>
          <cell r="B84" t="str">
            <v>room per night</v>
          </cell>
        </row>
        <row r="85">
          <cell r="A85" t="str">
            <v>Hotel stay Panama</v>
          </cell>
          <cell r="B85" t="str">
            <v>room per night</v>
          </cell>
        </row>
        <row r="86">
          <cell r="A86" t="str">
            <v>Hotel stay Philippines</v>
          </cell>
          <cell r="B86" t="str">
            <v>room per night</v>
          </cell>
        </row>
        <row r="87">
          <cell r="A87" t="str">
            <v>Hotel stay Poland</v>
          </cell>
          <cell r="B87" t="str">
            <v>room per night</v>
          </cell>
        </row>
        <row r="88">
          <cell r="A88" t="str">
            <v>Hotel stay Portugal</v>
          </cell>
          <cell r="B88" t="str">
            <v>room per night</v>
          </cell>
        </row>
        <row r="89">
          <cell r="A89" t="str">
            <v>Hotel stay Qatar</v>
          </cell>
          <cell r="B89" t="str">
            <v>room per night</v>
          </cell>
        </row>
        <row r="90">
          <cell r="A90" t="str">
            <v>Hotel stay Russian Federation</v>
          </cell>
          <cell r="B90" t="str">
            <v>room per night</v>
          </cell>
        </row>
        <row r="91">
          <cell r="A91" t="str">
            <v>Hotel stay Saudi Arabia</v>
          </cell>
          <cell r="B91" t="str">
            <v>room per night</v>
          </cell>
        </row>
        <row r="92">
          <cell r="A92" t="str">
            <v>Hotel stay Singapore</v>
          </cell>
          <cell r="B92" t="str">
            <v>room per night</v>
          </cell>
        </row>
        <row r="93">
          <cell r="A93" t="str">
            <v>Hotel stay South Africa</v>
          </cell>
          <cell r="B93" t="str">
            <v>room per night</v>
          </cell>
        </row>
        <row r="94">
          <cell r="A94" t="str">
            <v>Hotel stay South Korea</v>
          </cell>
          <cell r="B94" t="str">
            <v>room per night</v>
          </cell>
        </row>
        <row r="95">
          <cell r="A95" t="str">
            <v>Hotel stay Spain</v>
          </cell>
          <cell r="B95" t="str">
            <v>room per night</v>
          </cell>
        </row>
        <row r="96">
          <cell r="A96" t="str">
            <v>Hotel stay Switzerland</v>
          </cell>
          <cell r="B96" t="str">
            <v>room per night</v>
          </cell>
        </row>
        <row r="97">
          <cell r="A97" t="str">
            <v>Hotel stay Taiwan</v>
          </cell>
          <cell r="B97" t="str">
            <v>room per night</v>
          </cell>
        </row>
        <row r="98">
          <cell r="A98" t="str">
            <v>Hotel stay Thailand</v>
          </cell>
          <cell r="B98" t="str">
            <v>room per night</v>
          </cell>
        </row>
        <row r="99">
          <cell r="A99" t="str">
            <v>Hotel stay Turkey</v>
          </cell>
          <cell r="B99" t="str">
            <v>room per night</v>
          </cell>
        </row>
        <row r="100">
          <cell r="A100" t="str">
            <v>Hotel stay United Arab Emirates</v>
          </cell>
          <cell r="B100" t="str">
            <v>room per night</v>
          </cell>
        </row>
        <row r="101">
          <cell r="A101" t="str">
            <v>Hotel stay UK</v>
          </cell>
          <cell r="B101" t="str">
            <v>room per night</v>
          </cell>
        </row>
        <row r="102">
          <cell r="A102" t="str">
            <v>Hotel stay United States</v>
          </cell>
          <cell r="B102" t="str">
            <v>room per night</v>
          </cell>
        </row>
        <row r="103">
          <cell r="A103" t="str">
            <v>Hotel stay Vietnam</v>
          </cell>
          <cell r="B103" t="str">
            <v>room per night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F96AA-297D-4196-83BF-EB09C25A6E95}">
  <dimension ref="B2:O209"/>
  <sheetViews>
    <sheetView showGridLines="0" tabSelected="1" zoomScale="70" zoomScaleNormal="70" workbookViewId="0">
      <selection activeCell="I22" sqref="I22"/>
    </sheetView>
  </sheetViews>
  <sheetFormatPr defaultColWidth="12.6328125" defaultRowHeight="18" customHeight="1" x14ac:dyDescent="0.35"/>
  <cols>
    <col min="1" max="1" width="4" style="1" customWidth="1"/>
    <col min="2" max="3" width="10.6328125" style="1" customWidth="1"/>
    <col min="4" max="7" width="30.6328125" style="1" customWidth="1"/>
    <col min="8" max="8" width="26.90625" style="1" customWidth="1"/>
    <col min="9" max="9" width="25.90625" style="1" customWidth="1"/>
    <col min="10" max="16384" width="12.6328125" style="1"/>
  </cols>
  <sheetData>
    <row r="2" spans="2:15" ht="18" customHeight="1" x14ac:dyDescent="0.35">
      <c r="D2" s="2" t="s">
        <v>0</v>
      </c>
    </row>
    <row r="4" spans="2:15" ht="18" customHeight="1" x14ac:dyDescent="0.35">
      <c r="D4" s="42" t="s">
        <v>37</v>
      </c>
      <c r="E4" s="42" t="s">
        <v>38</v>
      </c>
      <c r="F4" s="42"/>
      <c r="G4" s="42"/>
    </row>
    <row r="5" spans="2:15" ht="52.5" customHeight="1" x14ac:dyDescent="0.35">
      <c r="D5" s="17" t="s">
        <v>27</v>
      </c>
      <c r="E5" s="17" t="s">
        <v>28</v>
      </c>
      <c r="F5" s="17" t="s">
        <v>47</v>
      </c>
      <c r="G5" s="17" t="s">
        <v>25</v>
      </c>
      <c r="H5" s="17" t="s">
        <v>32</v>
      </c>
      <c r="I5" s="17" t="s">
        <v>33</v>
      </c>
    </row>
    <row r="6" spans="2:15" ht="18" customHeight="1" x14ac:dyDescent="0.35">
      <c r="B6" s="49" t="s">
        <v>6</v>
      </c>
      <c r="C6" s="49"/>
      <c r="D6" s="37">
        <f>FLOOR(SUM(E30:E31),1)</f>
        <v>1263</v>
      </c>
      <c r="E6" s="37">
        <f>CEILING(SUM(F30:F31),1)</f>
        <v>34</v>
      </c>
      <c r="F6" s="45">
        <f>D6-E6</f>
        <v>1229</v>
      </c>
      <c r="G6" s="37">
        <f>F6*(1-$E$27)</f>
        <v>1103.6661003558893</v>
      </c>
      <c r="H6" s="50">
        <f>SUM(G6:G21)</f>
        <v>304044.29530487722</v>
      </c>
      <c r="I6" s="50">
        <f>H6/15</f>
        <v>20269.619686991813</v>
      </c>
      <c r="J6" s="33"/>
      <c r="K6" s="47"/>
      <c r="L6" s="6"/>
      <c r="M6" s="6"/>
      <c r="N6" s="6"/>
      <c r="O6" s="6"/>
    </row>
    <row r="7" spans="2:15" ht="18" customHeight="1" x14ac:dyDescent="0.35">
      <c r="B7" s="49">
        <v>2026</v>
      </c>
      <c r="C7" s="49"/>
      <c r="D7" s="37">
        <f>FLOOR(SUM(E32:E43),1)</f>
        <v>9155</v>
      </c>
      <c r="E7" s="37">
        <f>CEILING(SUM(F32:F43),1)</f>
        <v>240</v>
      </c>
      <c r="F7" s="45">
        <f t="shared" ref="F7:F21" si="0">D7-E7</f>
        <v>8915</v>
      </c>
      <c r="G7" s="45">
        <f t="shared" ref="G7:G21" si="1">F7*(1-$E$27)</f>
        <v>8005.8448207264064</v>
      </c>
      <c r="H7" s="51"/>
      <c r="I7" s="51"/>
      <c r="J7" s="33"/>
      <c r="K7" s="47"/>
    </row>
    <row r="8" spans="2:15" ht="18" customHeight="1" x14ac:dyDescent="0.35">
      <c r="B8" s="49">
        <v>2027</v>
      </c>
      <c r="C8" s="49"/>
      <c r="D8" s="37">
        <f>FLOOR(SUM(E44:E55),1)</f>
        <v>15803</v>
      </c>
      <c r="E8" s="37">
        <f>CEILING(SUM(F44:F55),1)</f>
        <v>414</v>
      </c>
      <c r="F8" s="45">
        <f t="shared" si="0"/>
        <v>15389</v>
      </c>
      <c r="G8" s="45">
        <f t="shared" si="1"/>
        <v>13819.623774106412</v>
      </c>
      <c r="H8" s="51"/>
      <c r="I8" s="51"/>
      <c r="J8" s="33"/>
      <c r="K8" s="47"/>
    </row>
    <row r="9" spans="2:15" ht="18" customHeight="1" x14ac:dyDescent="0.35">
      <c r="B9" s="49">
        <v>2028</v>
      </c>
      <c r="C9" s="49"/>
      <c r="D9" s="37">
        <f>FLOOR(SUM(E56:E67),1)</f>
        <v>20398</v>
      </c>
      <c r="E9" s="37">
        <f>CEILING(SUM(F56:F67),1)</f>
        <v>534</v>
      </c>
      <c r="F9" s="45">
        <f t="shared" si="0"/>
        <v>19864</v>
      </c>
      <c r="G9" s="45">
        <f t="shared" si="1"/>
        <v>17838.261527639857</v>
      </c>
      <c r="H9" s="51"/>
      <c r="I9" s="51"/>
      <c r="J9" s="33"/>
      <c r="K9" s="47"/>
    </row>
    <row r="10" spans="2:15" ht="18" customHeight="1" x14ac:dyDescent="0.35">
      <c r="B10" s="49">
        <v>2029</v>
      </c>
      <c r="C10" s="49"/>
      <c r="D10" s="37">
        <f>FLOOR(SUM(E68:E79),1)</f>
        <v>23700</v>
      </c>
      <c r="E10" s="37">
        <f>CEILING(SUM(F68:F79),1)</f>
        <v>621</v>
      </c>
      <c r="F10" s="45">
        <f t="shared" si="0"/>
        <v>23079</v>
      </c>
      <c r="G10" s="45">
        <f t="shared" si="1"/>
        <v>20725.394572915844</v>
      </c>
      <c r="H10" s="51"/>
      <c r="I10" s="51"/>
      <c r="J10" s="33"/>
      <c r="K10" s="47"/>
    </row>
    <row r="11" spans="2:15" ht="18" customHeight="1" x14ac:dyDescent="0.35">
      <c r="B11" s="49">
        <v>2030</v>
      </c>
      <c r="C11" s="49"/>
      <c r="D11" s="37">
        <f>FLOOR(SUM(E80:E91),1)</f>
        <v>26586</v>
      </c>
      <c r="E11" s="37">
        <f>CEILING(SUM(F80:F91),1)</f>
        <v>696</v>
      </c>
      <c r="F11" s="45">
        <f t="shared" si="0"/>
        <v>25890</v>
      </c>
      <c r="G11" s="45">
        <f t="shared" si="1"/>
        <v>23249.727695861657</v>
      </c>
      <c r="H11" s="51"/>
      <c r="I11" s="51"/>
      <c r="J11" s="33"/>
      <c r="K11" s="47"/>
    </row>
    <row r="12" spans="2:15" ht="18" customHeight="1" x14ac:dyDescent="0.35">
      <c r="B12" s="49">
        <v>2031</v>
      </c>
      <c r="C12" s="49"/>
      <c r="D12" s="37">
        <f>FLOOR(SUM(E92:E103),1)</f>
        <v>27331</v>
      </c>
      <c r="E12" s="37">
        <f>CEILING(SUM(F92:F103),1)</f>
        <v>716</v>
      </c>
      <c r="F12" s="45">
        <f t="shared" si="0"/>
        <v>26615</v>
      </c>
      <c r="G12" s="45">
        <f t="shared" si="1"/>
        <v>23900.791912914559</v>
      </c>
      <c r="H12" s="51"/>
      <c r="I12" s="51"/>
      <c r="J12" s="33"/>
      <c r="K12" s="47"/>
    </row>
    <row r="13" spans="2:15" ht="18" customHeight="1" x14ac:dyDescent="0.35">
      <c r="B13" s="49">
        <v>2032</v>
      </c>
      <c r="C13" s="49"/>
      <c r="D13" s="37">
        <f>FLOOR(SUM(E104:E115),1)</f>
        <v>27195</v>
      </c>
      <c r="E13" s="37">
        <f>CEILING(SUM(F104:F115),1)</f>
        <v>712</v>
      </c>
      <c r="F13" s="45">
        <f t="shared" si="0"/>
        <v>26483</v>
      </c>
      <c r="G13" s="45">
        <f t="shared" si="1"/>
        <v>23782.253324430447</v>
      </c>
      <c r="H13" s="51"/>
      <c r="I13" s="51"/>
      <c r="J13" s="33"/>
      <c r="K13" s="47"/>
    </row>
    <row r="14" spans="2:15" ht="18" customHeight="1" x14ac:dyDescent="0.35">
      <c r="B14" s="49">
        <v>2033</v>
      </c>
      <c r="C14" s="49"/>
      <c r="D14" s="37">
        <f>FLOOR(SUM(E116:E127),1)</f>
        <v>26506</v>
      </c>
      <c r="E14" s="37">
        <f>CEILING(SUM(F116:F127),1)</f>
        <v>694</v>
      </c>
      <c r="F14" s="45">
        <f t="shared" si="0"/>
        <v>25812</v>
      </c>
      <c r="G14" s="45">
        <f t="shared" si="1"/>
        <v>23179.68216630286</v>
      </c>
      <c r="H14" s="51"/>
      <c r="I14" s="51"/>
      <c r="J14" s="33"/>
      <c r="K14" s="47"/>
    </row>
    <row r="15" spans="2:15" ht="18" customHeight="1" x14ac:dyDescent="0.35">
      <c r="B15" s="49">
        <v>2034</v>
      </c>
      <c r="C15" s="49"/>
      <c r="D15" s="37">
        <f>FLOOR(SUM(E128:E139),1)</f>
        <v>26207</v>
      </c>
      <c r="E15" s="37">
        <f>CEILING(SUM(F128:F139),1)</f>
        <v>686</v>
      </c>
      <c r="F15" s="45">
        <f t="shared" si="0"/>
        <v>25521</v>
      </c>
      <c r="G15" s="45">
        <f t="shared" si="1"/>
        <v>22918.358459871972</v>
      </c>
      <c r="H15" s="51"/>
      <c r="I15" s="51"/>
      <c r="J15" s="33"/>
      <c r="K15" s="47"/>
    </row>
    <row r="16" spans="2:15" ht="18" customHeight="1" x14ac:dyDescent="0.35">
      <c r="B16" s="49">
        <v>2035</v>
      </c>
      <c r="C16" s="49"/>
      <c r="D16" s="37">
        <f>FLOOR(SUM(E140:E151),1)</f>
        <v>25972</v>
      </c>
      <c r="E16" s="37">
        <f>CEILING(SUM(F140:F151),1)</f>
        <v>680</v>
      </c>
      <c r="F16" s="45">
        <f t="shared" si="0"/>
        <v>25292</v>
      </c>
      <c r="G16" s="45">
        <f t="shared" si="1"/>
        <v>22712.711969244225</v>
      </c>
      <c r="H16" s="51"/>
      <c r="I16" s="51"/>
      <c r="J16" s="33"/>
      <c r="K16" s="47"/>
    </row>
    <row r="17" spans="2:11" ht="18" customHeight="1" x14ac:dyDescent="0.35">
      <c r="B17" s="49">
        <v>2036</v>
      </c>
      <c r="C17" s="49"/>
      <c r="D17" s="37">
        <f>FLOOR(SUM(E152:E163),1)</f>
        <v>25773</v>
      </c>
      <c r="E17" s="37">
        <f>CEILING(SUM(F152:F163),1)</f>
        <v>675</v>
      </c>
      <c r="F17" s="45">
        <f t="shared" si="0"/>
        <v>25098</v>
      </c>
      <c r="G17" s="45">
        <f t="shared" si="1"/>
        <v>22538.496164956967</v>
      </c>
      <c r="H17" s="51"/>
      <c r="I17" s="51"/>
      <c r="J17" s="33"/>
      <c r="K17" s="47"/>
    </row>
    <row r="18" spans="2:11" ht="18" customHeight="1" x14ac:dyDescent="0.35">
      <c r="B18" s="49">
        <v>2037</v>
      </c>
      <c r="C18" s="49"/>
      <c r="D18" s="37">
        <f>FLOOR(SUM(E164:E175),1)</f>
        <v>25632</v>
      </c>
      <c r="E18" s="37">
        <f>CEILING(SUM(F164:F175),1)</f>
        <v>671</v>
      </c>
      <c r="F18" s="45">
        <f t="shared" si="0"/>
        <v>24961</v>
      </c>
      <c r="G18" s="45">
        <f t="shared" si="1"/>
        <v>22415.467478424209</v>
      </c>
      <c r="H18" s="51"/>
      <c r="I18" s="51"/>
      <c r="J18" s="33"/>
      <c r="K18" s="47"/>
    </row>
    <row r="19" spans="2:11" ht="18" customHeight="1" x14ac:dyDescent="0.35">
      <c r="B19" s="49">
        <v>2038</v>
      </c>
      <c r="C19" s="49"/>
      <c r="D19" s="37">
        <f>FLOOR(SUM(E176:E187),1)</f>
        <v>25253</v>
      </c>
      <c r="E19" s="37">
        <f>CEILING(SUM(F176:F187),1)</f>
        <v>661</v>
      </c>
      <c r="F19" s="45">
        <f t="shared" si="0"/>
        <v>24592</v>
      </c>
      <c r="G19" s="45">
        <f t="shared" si="1"/>
        <v>22084.098242434524</v>
      </c>
      <c r="H19" s="51"/>
      <c r="I19" s="51"/>
      <c r="J19" s="33"/>
      <c r="K19" s="47"/>
    </row>
    <row r="20" spans="2:11" ht="18" customHeight="1" x14ac:dyDescent="0.35">
      <c r="B20" s="49">
        <v>2039</v>
      </c>
      <c r="C20" s="49"/>
      <c r="D20" s="37">
        <f>FLOOR(SUM(E188:E199),1)</f>
        <v>23577</v>
      </c>
      <c r="E20" s="37">
        <f>CEILING(SUM(F188:F199),1)</f>
        <v>618</v>
      </c>
      <c r="F20" s="45">
        <f t="shared" si="0"/>
        <v>22959</v>
      </c>
      <c r="G20" s="45">
        <f t="shared" si="1"/>
        <v>20617.632219748466</v>
      </c>
      <c r="H20" s="51"/>
      <c r="I20" s="51"/>
      <c r="J20" s="33"/>
      <c r="K20" s="47"/>
    </row>
    <row r="21" spans="2:11" ht="18" customHeight="1" x14ac:dyDescent="0.35">
      <c r="B21" s="49" t="s">
        <v>7</v>
      </c>
      <c r="C21" s="49"/>
      <c r="D21" s="37">
        <f>FLOOR(SUM(E200:E209),1)</f>
        <v>17327</v>
      </c>
      <c r="E21" s="37">
        <f>CEILING(SUM(F200:F209),1)</f>
        <v>454</v>
      </c>
      <c r="F21" s="45">
        <f t="shared" si="0"/>
        <v>16873</v>
      </c>
      <c r="G21" s="45">
        <f t="shared" si="1"/>
        <v>15152.28487494298</v>
      </c>
      <c r="H21" s="52"/>
      <c r="I21" s="52"/>
      <c r="J21" s="33"/>
      <c r="K21" s="47"/>
    </row>
    <row r="22" spans="2:11" ht="18" customHeight="1" x14ac:dyDescent="0.35">
      <c r="B22" s="49" t="s">
        <v>1</v>
      </c>
      <c r="C22" s="49"/>
      <c r="D22" s="37">
        <f>SUM(D6:D21)</f>
        <v>347678</v>
      </c>
      <c r="E22" s="37">
        <f>SUM(E6:E21)</f>
        <v>9106</v>
      </c>
      <c r="F22" s="45">
        <f>SUM(F6:F21)</f>
        <v>338572</v>
      </c>
      <c r="G22" s="45">
        <f>SUM(G6:G21)</f>
        <v>304044.29530487722</v>
      </c>
      <c r="H22" s="6"/>
      <c r="I22" s="6"/>
      <c r="J22" s="33"/>
      <c r="K22" s="6"/>
    </row>
    <row r="23" spans="2:11" ht="18" customHeight="1" x14ac:dyDescent="0.35">
      <c r="J23" s="33"/>
      <c r="K23" s="6"/>
    </row>
    <row r="24" spans="2:11" ht="18" customHeight="1" x14ac:dyDescent="0.35">
      <c r="J24" s="33"/>
      <c r="K24" s="6"/>
    </row>
    <row r="25" spans="2:11" ht="18" customHeight="1" x14ac:dyDescent="0.35">
      <c r="B25" s="53" t="s">
        <v>43</v>
      </c>
      <c r="C25" s="54"/>
      <c r="D25" s="55"/>
      <c r="E25" s="46">
        <f>'Обработка руды'!L2</f>
        <v>0.02</v>
      </c>
    </row>
    <row r="26" spans="2:11" ht="18" customHeight="1" x14ac:dyDescent="0.35">
      <c r="B26" s="53" t="s">
        <v>45</v>
      </c>
      <c r="C26" s="54"/>
      <c r="D26" s="55"/>
      <c r="E26" s="46">
        <f>'Коэффициенты (ПС)'!E5</f>
        <v>0.1</v>
      </c>
    </row>
    <row r="27" spans="2:11" ht="21" customHeight="1" x14ac:dyDescent="0.35">
      <c r="B27" s="53" t="s">
        <v>44</v>
      </c>
      <c r="C27" s="54"/>
      <c r="D27" s="55"/>
      <c r="E27" s="46">
        <f>SQRT(E25^2+E26^2)</f>
        <v>0.10198039027185571</v>
      </c>
    </row>
    <row r="28" spans="2:11" ht="103" customHeight="1" x14ac:dyDescent="0.35">
      <c r="G28" s="44" t="s">
        <v>41</v>
      </c>
      <c r="H28" s="48" t="s">
        <v>40</v>
      </c>
      <c r="I28" s="48"/>
    </row>
    <row r="29" spans="2:11" ht="40" customHeight="1" x14ac:dyDescent="0.35">
      <c r="B29" s="17" t="s">
        <v>4</v>
      </c>
      <c r="C29" s="17" t="s">
        <v>3</v>
      </c>
      <c r="D29" s="17" t="s">
        <v>26</v>
      </c>
      <c r="E29" s="17" t="s">
        <v>27</v>
      </c>
      <c r="F29" s="17" t="s">
        <v>34</v>
      </c>
      <c r="G29" s="17" t="s">
        <v>39</v>
      </c>
      <c r="H29" s="17" t="s">
        <v>27</v>
      </c>
      <c r="I29" s="17" t="s">
        <v>34</v>
      </c>
    </row>
    <row r="30" spans="2:11" ht="18" customHeight="1" x14ac:dyDescent="0.35">
      <c r="B30" s="49">
        <v>2025</v>
      </c>
      <c r="C30" s="36">
        <v>11</v>
      </c>
      <c r="D30" s="37">
        <f>'Обработка руды'!E4</f>
        <v>113504</v>
      </c>
      <c r="E30" s="8" t="s">
        <v>5</v>
      </c>
      <c r="F30" s="8" t="s">
        <v>5</v>
      </c>
      <c r="G30" s="43">
        <v>1</v>
      </c>
      <c r="H30" s="8" t="s">
        <v>5</v>
      </c>
      <c r="I30" s="8" t="s">
        <v>5</v>
      </c>
    </row>
    <row r="31" spans="2:11" ht="18" customHeight="1" x14ac:dyDescent="0.35">
      <c r="B31" s="49"/>
      <c r="C31" s="36">
        <v>12</v>
      </c>
      <c r="D31" s="37">
        <f>'Обработка руды'!E5</f>
        <v>68211</v>
      </c>
      <c r="E31" s="37">
        <f>$D$30*'Коэффициенты (ПС)'!$G$8</f>
        <v>1263.9270524773176</v>
      </c>
      <c r="F31" s="37">
        <f>$D$30*'Коэффициенты (БЛ)'!$G$7</f>
        <v>33.078482783778227</v>
      </c>
      <c r="G31" s="43">
        <v>1</v>
      </c>
      <c r="H31" s="43">
        <f t="shared" ref="H31:H62" si="2">E31*G31</f>
        <v>1263.9270524773176</v>
      </c>
      <c r="I31" s="43">
        <f t="shared" ref="I31:I62" si="3">F31*G31</f>
        <v>33.078482783778227</v>
      </c>
    </row>
    <row r="32" spans="2:11" ht="18" customHeight="1" x14ac:dyDescent="0.35">
      <c r="B32" s="49">
        <v>2026</v>
      </c>
      <c r="C32" s="36">
        <v>1</v>
      </c>
      <c r="D32" s="37">
        <f>'Обработка руды'!E6</f>
        <v>0</v>
      </c>
      <c r="E32" s="37">
        <f>$D31*'Коэффициенты (ПС)'!$G$8+Расчет!$D30*'Коэффициенты (ПС)'!$G$9</f>
        <v>1239.3200313608368</v>
      </c>
      <c r="F32" s="37">
        <f>$D31*'Коэффициенты (БЛ)'!$G$7+Расчет!$D30*'Коэффициенты (БЛ)'!$G$8</f>
        <v>32.434487607975797</v>
      </c>
      <c r="G32" s="43">
        <v>1</v>
      </c>
      <c r="H32" s="43">
        <f t="shared" si="2"/>
        <v>1239.3200313608368</v>
      </c>
      <c r="I32" s="43">
        <f t="shared" si="3"/>
        <v>32.434487607975797</v>
      </c>
    </row>
    <row r="33" spans="2:15" ht="18" customHeight="1" x14ac:dyDescent="0.35">
      <c r="B33" s="49"/>
      <c r="C33" s="36">
        <v>2</v>
      </c>
      <c r="D33" s="37">
        <f>'Обработка руды'!E7</f>
        <v>69610</v>
      </c>
      <c r="E33" s="37">
        <f>$D32*'Коэффициенты (ПС)'!$G$8+Расчет!$D31*'Коэффициенты (ПС)'!$G$9+$D30*'Коэффициенты (ПС)'!$G$10</f>
        <v>698.21716261608753</v>
      </c>
      <c r="F33" s="37">
        <f>$D32*'Коэффициенты (БЛ)'!$G$7+Расчет!$D31*'Коэффициенты (БЛ)'!$G$8+$D30*'Коэффициенты (БЛ)'!$G$9</f>
        <v>18.273178303816081</v>
      </c>
      <c r="G33" s="43">
        <v>1</v>
      </c>
      <c r="H33" s="43">
        <f t="shared" si="2"/>
        <v>698.21716261608753</v>
      </c>
      <c r="I33" s="43">
        <f t="shared" si="3"/>
        <v>18.273178303816081</v>
      </c>
    </row>
    <row r="34" spans="2:15" ht="18" customHeight="1" x14ac:dyDescent="0.35">
      <c r="B34" s="49"/>
      <c r="C34" s="36">
        <v>3</v>
      </c>
      <c r="D34" s="37">
        <f>'Обработка руды'!E8</f>
        <v>0</v>
      </c>
      <c r="E34" s="37">
        <f>$D33*'Коэффициенты (ПС)'!$G$8+Расчет!$D32*'Коэффициенты (ПС)'!$G$9+$D31*'Коэффициенты (ПС)'!$G$10+$D30*'Коэффициенты (ПС)'!$G$11</f>
        <v>1354.6406836880813</v>
      </c>
      <c r="F34" s="37">
        <f>$D33*'Коэффициенты (БЛ)'!$G$7+Расчет!$D32*'Коэффициенты (БЛ)'!$G$8+$D31*'Коэффициенты (БЛ)'!$G$9+$D30*'Коэффициенты (БЛ)'!$G$10</f>
        <v>35.452567017815213</v>
      </c>
      <c r="G34" s="43">
        <v>1</v>
      </c>
      <c r="H34" s="43">
        <f t="shared" si="2"/>
        <v>1354.6406836880813</v>
      </c>
      <c r="I34" s="43">
        <f t="shared" si="3"/>
        <v>35.452567017815213</v>
      </c>
    </row>
    <row r="35" spans="2:15" ht="18" customHeight="1" x14ac:dyDescent="0.35">
      <c r="B35" s="49"/>
      <c r="C35" s="36">
        <v>4</v>
      </c>
      <c r="D35" s="37">
        <f>'Обработка руды'!E9</f>
        <v>0</v>
      </c>
      <c r="E35" s="37">
        <f>$D34*'Коэффициенты (ПС)'!$G$8+Расчет!$D33*'Коэффициенты (ПС)'!$G$9+$D32*'Коэффициенты (ПС)'!$G$10+$D31*'Коэффициенты (ПС)'!$G$11+$D30*'Коэффициенты (ПС)'!$G$12</f>
        <v>797.21332145106317</v>
      </c>
      <c r="F35" s="37">
        <f>$D34*'Коэффициенты (БЛ)'!$G$7+Расчет!$D33*'Коэффициенты (БЛ)'!$G$8+$D32*'Коэффициенты (БЛ)'!$G$9+$D31*'Коэффициенты (БЛ)'!$G$10+$D30*'Коэффициенты (БЛ)'!$G$11</f>
        <v>20.864026192754441</v>
      </c>
      <c r="G35" s="43">
        <v>1</v>
      </c>
      <c r="H35" s="43">
        <f t="shared" si="2"/>
        <v>797.21332145106317</v>
      </c>
      <c r="I35" s="43">
        <f t="shared" si="3"/>
        <v>20.864026192754441</v>
      </c>
    </row>
    <row r="36" spans="2:15" ht="18" customHeight="1" x14ac:dyDescent="0.35">
      <c r="B36" s="49"/>
      <c r="C36" s="36">
        <v>5</v>
      </c>
      <c r="D36" s="37">
        <f>'Обработка руды'!E10</f>
        <v>0</v>
      </c>
      <c r="E36" s="37">
        <f>$D35*'Коэффициенты (ПС)'!$G$8+Расчет!$D34*'Коэффициенты (ПС)'!$G$9+$D33*'Коэффициенты (ПС)'!$G$10+$D32*'Коэффициенты (ПС)'!$G$11+$D31*'Коэффициенты (ПС)'!$G$12+$D30*'Коэффициенты (ПС)'!$G$13</f>
        <v>697.90052538008308</v>
      </c>
      <c r="F36" s="37">
        <f>$D35*'Коэффициенты (БЛ)'!$G$7+Расчет!$D34*'Коэффициенты (БЛ)'!$G$8+$D33*'Коэффициенты (БЛ)'!$G$9+$D32*'Коэффициенты (БЛ)'!$G$10+$D31*'Коэффициенты (БЛ)'!$G$11+$D30*'Коэффициенты (БЛ)'!$G$12</f>
        <v>18.264891528610697</v>
      </c>
      <c r="G36" s="43">
        <v>1</v>
      </c>
      <c r="H36" s="43">
        <f t="shared" si="2"/>
        <v>697.90052538008308</v>
      </c>
      <c r="I36" s="43">
        <f t="shared" si="3"/>
        <v>18.264891528610697</v>
      </c>
    </row>
    <row r="37" spans="2:15" ht="18" customHeight="1" x14ac:dyDescent="0.35">
      <c r="B37" s="49"/>
      <c r="C37" s="36">
        <v>6</v>
      </c>
      <c r="D37" s="37">
        <f>'Обработка руды'!E11</f>
        <v>0</v>
      </c>
      <c r="E37" s="37">
        <f>$D36*'Коэффициенты (ПС)'!$G$8+Расчет!$D35*'Коэффициенты (ПС)'!$G$9+$D34*'Коэффициенты (ПС)'!$G$10+$D33*'Коэффициенты (ПС)'!$G$11+$D32*'Коэффициенты (ПС)'!$G$12+$D31*'Коэффициенты (ПС)'!$G$13+$D30*'Коэффициенты (ПС)'!$G$14</f>
        <v>614.51658338538925</v>
      </c>
      <c r="F37" s="37">
        <f>$D36*'Коэффициенты (БЛ)'!$G$7+Расчет!$D35*'Коэффициенты (БЛ)'!$G$8+$D34*'Коэффициенты (БЛ)'!$G$9+$D33*'Коэффициенты (БЛ)'!$G$10+$D32*'Коэффициенты (БЛ)'!$G$11+$D31*'Коэффициенты (БЛ)'!$G$12+$D30*'Коэффициенты (БЛ)'!$G$13</f>
        <v>16.082634028615828</v>
      </c>
      <c r="G37" s="43">
        <v>1</v>
      </c>
      <c r="H37" s="43">
        <f t="shared" si="2"/>
        <v>614.51658338538925</v>
      </c>
      <c r="I37" s="43">
        <f t="shared" si="3"/>
        <v>16.082634028615828</v>
      </c>
    </row>
    <row r="38" spans="2:15" ht="18" customHeight="1" x14ac:dyDescent="0.35">
      <c r="B38" s="49"/>
      <c r="C38" s="36">
        <v>7</v>
      </c>
      <c r="D38" s="37">
        <f>'Обработка руды'!E12</f>
        <v>0</v>
      </c>
      <c r="E38" s="37">
        <f>$D37*'Коэффициенты (ПС)'!$G$8+Расчет!$D36*'Коэффициенты (ПС)'!$G$9+$D35*'Коэффициенты (ПС)'!$G$10+$D34*'Коэффициенты (ПС)'!$G$11+$D33*'Коэффициенты (ПС)'!$G$12+$D32*'Коэффициенты (ПС)'!$G$13+$D31*'Коэффициенты (ПС)'!$G$14+$D30*'Коэффициенты (ПС)'!$G$15</f>
        <v>570.06745116818138</v>
      </c>
      <c r="F38" s="37">
        <f>$D37*'Коэффициенты (БЛ)'!$G$7+Расчет!$D36*'Коэффициенты (БЛ)'!$G$8+$D35*'Коэффициенты (БЛ)'!$G$9+$D34*'Коэффициенты (БЛ)'!$G$10+$D33*'Коэффициенты (БЛ)'!$G$11+$D32*'Коэффициенты (БЛ)'!$G$12+$D31*'Коэффициенты (БЛ)'!$G$13+$D30*'Коэффициенты (БЛ)'!$G$14</f>
        <v>14.919347071572744</v>
      </c>
      <c r="G38" s="43">
        <v>1</v>
      </c>
      <c r="H38" s="43">
        <f t="shared" si="2"/>
        <v>570.06745116818138</v>
      </c>
      <c r="I38" s="43">
        <f t="shared" si="3"/>
        <v>14.919347071572744</v>
      </c>
    </row>
    <row r="39" spans="2:15" ht="18" customHeight="1" x14ac:dyDescent="0.35">
      <c r="B39" s="49"/>
      <c r="C39" s="36">
        <v>8</v>
      </c>
      <c r="D39" s="37">
        <f>'Обработка руды'!E13</f>
        <v>0</v>
      </c>
      <c r="E39" s="37">
        <f>$D38*'Коэффициенты (ПС)'!$G$8+Расчет!$D37*'Коэффициенты (ПС)'!$G$9+$D36*'Коэффициенты (ПС)'!$G$10+$D35*'Коэффициенты (ПС)'!$G$11+$D34*'Коэффициенты (ПС)'!$G$12+$D33*'Коэффициенты (ПС)'!$G$13+$D32*'Коэффициенты (ПС)'!$G$14+$D31*'Коэффициенты (ПС)'!$G$15+$D30*'Коэффициенты (ПС)'!$G$16</f>
        <v>514.60697013298511</v>
      </c>
      <c r="F39" s="37">
        <f>$D38*'Коэффициенты (БЛ)'!$G$7+Расчет!$D37*'Коэффициенты (БЛ)'!$G$8+$D36*'Коэффициенты (БЛ)'!$G$9+$D35*'Коэффициенты (БЛ)'!$G$10+$D34*'Коэффициенты (БЛ)'!$G$11+$D33*'Коэффициенты (БЛ)'!$G$12+$D32*'Коэффициенты (БЛ)'!$G$13+$D31*'Коэффициенты (БЛ)'!$G$14+$D30*'Коэффициенты (БЛ)'!$G$15</f>
        <v>13.46787994496359</v>
      </c>
      <c r="G39" s="43">
        <v>1</v>
      </c>
      <c r="H39" s="43">
        <f t="shared" si="2"/>
        <v>514.60697013298511</v>
      </c>
      <c r="I39" s="43">
        <f t="shared" si="3"/>
        <v>13.46787994496359</v>
      </c>
      <c r="J39" s="4"/>
      <c r="K39" s="4"/>
      <c r="L39" s="4"/>
      <c r="M39" s="4"/>
      <c r="N39" s="4"/>
      <c r="O39" s="4"/>
    </row>
    <row r="40" spans="2:15" ht="18" customHeight="1" x14ac:dyDescent="0.35">
      <c r="B40" s="49"/>
      <c r="C40" s="36">
        <v>9</v>
      </c>
      <c r="D40" s="37">
        <f>'Обработка руды'!E14</f>
        <v>0</v>
      </c>
      <c r="E40" s="37">
        <f>$D39*'Коэффициенты (ПС)'!$G$8+Расчет!$D38*'Коэффициенты (ПС)'!$G$9+$D37*'Коэффициенты (ПС)'!$G$10+$D36*'Коэффициенты (ПС)'!$G$11+$D35*'Коэффициенты (ПС)'!$G$12+$D34*'Коэффициенты (ПС)'!$G$13+$D33*'Коэффициенты (ПС)'!$G$14+$D32*'Коэффициенты (ПС)'!$G$15+$D31*'Коэффициенты (ПС)'!$G$16+$D30*'Коэффициенты (ПС)'!$G$17</f>
        <v>488.74510901796202</v>
      </c>
      <c r="F40" s="37">
        <f>$D39*'Коэффициенты (БЛ)'!$G$7+Расчет!$D38*'Коэффициенты (БЛ)'!$G$8+$D37*'Коэффициенты (БЛ)'!$G$9+$D36*'Коэффициенты (БЛ)'!$G$10+$D35*'Коэффициенты (БЛ)'!$G$11+$D34*'Коэффициенты (БЛ)'!$G$12+$D33*'Коэффициенты (БЛ)'!$G$13+$D32*'Коэффициенты (БЛ)'!$G$14+$D31*'Коэффициенты (БЛ)'!$G$15+$D30*'Коэффициенты (БЛ)'!$G$16</f>
        <v>12.791044105448162</v>
      </c>
      <c r="G40" s="43">
        <v>1</v>
      </c>
      <c r="H40" s="43">
        <f t="shared" si="2"/>
        <v>488.74510901796202</v>
      </c>
      <c r="I40" s="43">
        <f t="shared" si="3"/>
        <v>12.791044105448162</v>
      </c>
      <c r="J40" s="7"/>
      <c r="K40" s="7"/>
      <c r="L40" s="7"/>
      <c r="M40" s="7"/>
      <c r="N40" s="7"/>
      <c r="O40" s="7"/>
    </row>
    <row r="41" spans="2:15" ht="18" customHeight="1" x14ac:dyDescent="0.35">
      <c r="B41" s="49"/>
      <c r="C41" s="36">
        <v>10</v>
      </c>
      <c r="D41" s="37">
        <f>'Обработка руды'!E15</f>
        <v>0</v>
      </c>
      <c r="E41" s="37">
        <f>$D40*'Коэффициенты (ПС)'!$G$8+Расчет!$D39*'Коэффициенты (ПС)'!$G$9+$D38*'Коэффициенты (ПС)'!$G$10+$D37*'Коэффициенты (ПС)'!$G$11+$D36*'Коэффициенты (ПС)'!$G$12+$D35*'Коэффициенты (ПС)'!$G$13+$D34*'Коэффициенты (ПС)'!$G$14+$D33*'Коэффициенты (ПС)'!$G$15+$D32*'Коэффициенты (ПС)'!$G$16+$D31*'Коэффициенты (ПС)'!$G$17+$D30*'Коэффициенты (ПС)'!$G$18</f>
        <v>458.39156455438319</v>
      </c>
      <c r="F41" s="37">
        <f>$D40*'Коэффициенты (БЛ)'!$G$7+Расчет!$D39*'Коэффициенты (БЛ)'!$G$8+$D38*'Коэффициенты (БЛ)'!$G$9+$D37*'Коэффициенты (БЛ)'!$G$10+$D36*'Коэффициенты (БЛ)'!$G$11+$D35*'Коэффициенты (БЛ)'!$G$12+$D34*'Коэффициенты (БЛ)'!$G$13+$D33*'Коэффициенты (БЛ)'!$G$14+$D32*'Коэффициенты (БЛ)'!$G$15+$D31*'Коэффициенты (БЛ)'!$G$16+$D30*'Коэффициенты (БЛ)'!$G$17</f>
        <v>11.996655540066016</v>
      </c>
      <c r="G41" s="43">
        <v>1</v>
      </c>
      <c r="H41" s="43">
        <f t="shared" si="2"/>
        <v>458.39156455438319</v>
      </c>
      <c r="I41" s="43">
        <f t="shared" si="3"/>
        <v>11.996655540066016</v>
      </c>
      <c r="J41" s="3"/>
      <c r="K41" s="3"/>
      <c r="L41" s="3"/>
      <c r="M41" s="3"/>
      <c r="N41" s="3"/>
      <c r="O41" s="3"/>
    </row>
    <row r="42" spans="2:15" ht="18" customHeight="1" x14ac:dyDescent="0.35">
      <c r="B42" s="49"/>
      <c r="C42" s="36">
        <v>11</v>
      </c>
      <c r="D42" s="37">
        <f>'Обработка руды'!E16</f>
        <v>78000</v>
      </c>
      <c r="E42" s="37">
        <f>$D41*'Коэффициенты (ПС)'!$G$8+Расчет!$D40*'Коэффициенты (ПС)'!$G$9+$D39*'Коэффициенты (ПС)'!$G$10+$D38*'Коэффициенты (ПС)'!$G$11+$D37*'Коэффициенты (ПС)'!$G$12+$D36*'Коэффициенты (ПС)'!$G$13+$D35*'Коэффициенты (ПС)'!$G$14+$D34*'Коэффициенты (ПС)'!$G$15+$D33*'Коэффициенты (ПС)'!$G$16+$D32*'Коэффициенты (ПС)'!$G$17+$D31*'Коэффициенты (ПС)'!$G$18+$D30*'Коэффициенты (ПС)'!$G$19</f>
        <v>432.93023739777038</v>
      </c>
      <c r="F42" s="37">
        <f>$D41*'Коэффициенты (БЛ)'!$G$7+Расчет!$D40*'Коэффициенты (БЛ)'!$G$8+$D39*'Коэффициенты (БЛ)'!$G$9+$D38*'Коэффициенты (БЛ)'!$G$10+$D37*'Коэффициенты (БЛ)'!$G$11+$D36*'Коэффициенты (БЛ)'!$G$12+$D35*'Коэффициенты (БЛ)'!$G$13+$D34*'Коэффициенты (БЛ)'!$G$14+$D33*'Коэффициенты (БЛ)'!$G$15+$D32*'Коэффициенты (БЛ)'!$G$16+$D31*'Коэффициенты (БЛ)'!$G$17+$D30*'Коэффициенты (БЛ)'!$G$18</f>
        <v>11.330302153332681</v>
      </c>
      <c r="G42" s="43">
        <v>1</v>
      </c>
      <c r="H42" s="43">
        <f t="shared" si="2"/>
        <v>432.93023739777038</v>
      </c>
      <c r="I42" s="43">
        <f t="shared" si="3"/>
        <v>11.330302153332681</v>
      </c>
    </row>
    <row r="43" spans="2:15" ht="18" customHeight="1" x14ac:dyDescent="0.35">
      <c r="B43" s="49"/>
      <c r="C43" s="36">
        <v>12</v>
      </c>
      <c r="D43" s="37">
        <f>'Обработка руды'!E17</f>
        <v>157000</v>
      </c>
      <c r="E43" s="37">
        <f>$D42*'Коэффициенты (ПС)'!$G$8+Расчет!$D41*'Коэффициенты (ПС)'!$G$9+$D40*'Коэффициенты (ПС)'!$G$10+$D39*'Коэффициенты (ПС)'!$G$11+$D38*'Коэффициенты (ПС)'!$G$12+$D37*'Коэффициенты (ПС)'!$G$13+$D36*'Коэффициенты (ПС)'!$G$14+$D35*'Коэффициенты (ПС)'!$G$15+$D34*'Коэффициенты (ПС)'!$G$16+$D33*'Коэффициенты (ПС)'!$G$17+$D32*'Коэффициенты (ПС)'!$G$18+$D31*'Коэффициенты (ПС)'!$G$19+$D30*'Коэффициенты (ПС)'!$G$20</f>
        <v>1289.2190045217435</v>
      </c>
      <c r="F43" s="37">
        <f>$D42*'Коэффициенты (БЛ)'!$G$7+Расчет!$D41*'Коэффициенты (БЛ)'!$G$8+$D40*'Коэффициенты (БЛ)'!$G$9+$D39*'Коэффициенты (БЛ)'!$G$10+$D38*'Коэффициенты (БЛ)'!$G$11+$D37*'Коэффициенты (БЛ)'!$G$12+$D36*'Коэффициенты (БЛ)'!$G$13+$D35*'Коэффициенты (БЛ)'!$G$14+$D34*'Коэффициенты (БЛ)'!$G$15+$D33*'Коэффициенты (БЛ)'!$G$16+$D32*'Коэффициенты (БЛ)'!$G$17+$D31*'Коэффициенты (БЛ)'!$G$18+$D30*'Коэффициенты (БЛ)'!$G$19</f>
        <v>33.740403421231072</v>
      </c>
      <c r="G43" s="43">
        <v>1</v>
      </c>
      <c r="H43" s="43">
        <f t="shared" si="2"/>
        <v>1289.2190045217435</v>
      </c>
      <c r="I43" s="43">
        <f t="shared" si="3"/>
        <v>33.740403421231072</v>
      </c>
    </row>
    <row r="44" spans="2:15" ht="18" customHeight="1" x14ac:dyDescent="0.35">
      <c r="B44" s="49">
        <v>2027</v>
      </c>
      <c r="C44" s="36">
        <v>1</v>
      </c>
      <c r="D44" s="37">
        <f>'Обработка руды'!E18</f>
        <v>0</v>
      </c>
      <c r="E44" s="37">
        <f>$D43*'Коэффициенты (ПС)'!$G$8+Расчет!$D42*'Коэффициенты (ПС)'!$G$9+$D41*'Коэффициенты (ПС)'!$G$10+$D40*'Коэффициенты (ПС)'!$G$11+$D39*'Коэффициенты (ПС)'!$G$12+$D38*'Коэффициенты (ПС)'!$G$13+$D37*'Коэффициенты (ПС)'!$G$14+$D36*'Коэффициенты (ПС)'!$G$15+$D35*'Коэффициенты (ПС)'!$G$16+$D34*'Коэффициенты (ПС)'!$G$17+$D33*'Коэффициенты (ПС)'!$G$18+$D32*'Коэффициенты (ПС)'!$G$19+$D31*'Коэффициенты (ПС)'!$G$20+$D30*'Коэффициенты (ПС)'!$G$21</f>
        <v>2460.3237298150284</v>
      </c>
      <c r="F44" s="37">
        <f>$D43*'Коэффициенты (БЛ)'!$G$7+Расчет!$D42*'Коэффициенты (БЛ)'!$G$8+$D41*'Коэффициенты (БЛ)'!$G$9+$D40*'Коэффициенты (БЛ)'!$G$10+$D39*'Коэффициенты (БЛ)'!$G$11+$D38*'Коэффициенты (БЛ)'!$G$12+$D37*'Коэффициенты (БЛ)'!$G$13+$D36*'Коэффициенты (БЛ)'!$G$14+$D35*'Коэффициенты (БЛ)'!$G$15+$D34*'Коэффициенты (БЛ)'!$G$16+$D33*'Коэффициенты (БЛ)'!$G$17+$D32*'Коэффициенты (БЛ)'!$G$18+$D31*'Коэффициенты (БЛ)'!$G$19+$D30*'Коэффициенты (БЛ)'!$G$20</f>
        <v>64.389614875078379</v>
      </c>
      <c r="G44" s="43">
        <v>1</v>
      </c>
      <c r="H44" s="43">
        <f t="shared" si="2"/>
        <v>2460.3237298150284</v>
      </c>
      <c r="I44" s="43">
        <f t="shared" si="3"/>
        <v>64.389614875078379</v>
      </c>
    </row>
    <row r="45" spans="2:15" ht="18" customHeight="1" x14ac:dyDescent="0.35">
      <c r="B45" s="49"/>
      <c r="C45" s="36">
        <v>2</v>
      </c>
      <c r="D45" s="37">
        <f>'Обработка руды'!E19</f>
        <v>75412.190875748871</v>
      </c>
      <c r="E45" s="37">
        <f>$D44*'Коэффициенты (ПС)'!$G$8+Расчет!$D43*'Коэффициенты (ПС)'!$G$9+$D42*'Коэффициенты (ПС)'!$G$10+$D41*'Коэффициенты (ПС)'!$G$11+$D40*'Коэффициенты (ПС)'!$G$12+$D39*'Коэффициенты (ПС)'!$G$13+$D38*'Коэффициенты (ПС)'!$G$14+$D37*'Коэффициенты (ПС)'!$G$15+$D36*'Коэффициенты (ПС)'!$G$16+$D35*'Коэффициенты (ПС)'!$G$17+$D34*'Коэффициенты (ПС)'!$G$18+$D33*'Коэффициенты (ПС)'!$G$19+$D32*'Коэффициенты (ПС)'!$G$20+$D31*'Коэффициенты (ПС)'!$G$21+$D30*'Коэффициенты (ПС)'!$G$22</f>
        <v>1322.9476889502503</v>
      </c>
      <c r="F45" s="37">
        <f>$D44*'Коэффициенты (БЛ)'!$G$7+Расчет!$D43*'Коэффициенты (БЛ)'!$G$8+$D42*'Коэффициенты (БЛ)'!$G$9+$D41*'Коэффициенты (БЛ)'!$G$10+$D40*'Коэффициенты (БЛ)'!$G$11+$D39*'Коэффициенты (БЛ)'!$G$12+$D38*'Коэффициенты (БЛ)'!$G$13+$D37*'Коэффициенты (БЛ)'!$G$14+$D36*'Коэффициенты (БЛ)'!$G$15+$D35*'Коэффициенты (БЛ)'!$G$16+$D34*'Коэффициенты (БЛ)'!$G$17+$D33*'Коэффициенты (БЛ)'!$G$18+$D32*'Коэффициенты (БЛ)'!$G$19+$D31*'Коэффициенты (БЛ)'!$G$20+$D30*'Коэффициенты (БЛ)'!$G$21</f>
        <v>34.623123436599911</v>
      </c>
      <c r="G45" s="43">
        <v>1</v>
      </c>
      <c r="H45" s="43">
        <f t="shared" si="2"/>
        <v>1322.9476889502503</v>
      </c>
      <c r="I45" s="43">
        <f t="shared" si="3"/>
        <v>34.623123436599911</v>
      </c>
    </row>
    <row r="46" spans="2:15" ht="18" customHeight="1" x14ac:dyDescent="0.35">
      <c r="B46" s="49"/>
      <c r="C46" s="36">
        <v>3</v>
      </c>
      <c r="D46" s="37">
        <f>'Обработка руды'!E20</f>
        <v>0</v>
      </c>
      <c r="E46" s="37">
        <f>$D45*'Коэффициенты (ПС)'!$G$8+Расчет!$D44*'Коэффициенты (ПС)'!$G$9+$D43*'Коэффициенты (ПС)'!$G$10+$D42*'Коэффициенты (ПС)'!$G$11+$D41*'Коэффициенты (ПС)'!$G$12+$D40*'Коэффициенты (ПС)'!$G$13+$D39*'Коэффициенты (ПС)'!$G$14+$D38*'Коэффициенты (ПС)'!$G$15+$D37*'Коэффициенты (ПС)'!$G$16+$D36*'Коэффициенты (ПС)'!$G$17+$D35*'Коэффициенты (ПС)'!$G$18+$D34*'Коэффициенты (ПС)'!$G$19+$D33*'Коэффициенты (ПС)'!$G$20+$D32*'Коэффициенты (ПС)'!$G$21+$D31*'Коэффициенты (ПС)'!$G$22+$D30*'Коэффициенты (ПС)'!$G$23</f>
        <v>2004.3037802708957</v>
      </c>
      <c r="F46" s="37">
        <f>$D45*'Коэффициенты (БЛ)'!$G$7+Расчет!$D44*'Коэффициенты (БЛ)'!$G$8+$D43*'Коэффициенты (БЛ)'!$G$9+$D42*'Коэффициенты (БЛ)'!$G$10+$D41*'Коэффициенты (БЛ)'!$G$11+$D40*'Коэффициенты (БЛ)'!$G$12+$D39*'Коэффициенты (БЛ)'!$G$13+$D38*'Коэффициенты (БЛ)'!$G$14+$D37*'Коэффициенты (БЛ)'!$G$15+$D36*'Коэффициенты (БЛ)'!$G$16+$D35*'Коэффициенты (БЛ)'!$G$17+$D34*'Коэффициенты (БЛ)'!$G$18+$D33*'Коэффициенты (БЛ)'!$G$19+$D32*'Коэффициенты (БЛ)'!$G$20+$D31*'Коэффициенты (БЛ)'!$G$21+$D30*'Коэффициенты (БЛ)'!$G$22</f>
        <v>52.455027336589289</v>
      </c>
      <c r="G46" s="43">
        <v>1</v>
      </c>
      <c r="H46" s="43">
        <f t="shared" si="2"/>
        <v>2004.3037802708957</v>
      </c>
      <c r="I46" s="43">
        <f t="shared" si="3"/>
        <v>52.455027336589289</v>
      </c>
    </row>
    <row r="47" spans="2:15" ht="18" customHeight="1" x14ac:dyDescent="0.35">
      <c r="B47" s="49"/>
      <c r="C47" s="36">
        <v>4</v>
      </c>
      <c r="D47" s="37">
        <f>'Обработка руды'!E21</f>
        <v>0</v>
      </c>
      <c r="E47" s="37">
        <f>$D46*'Коэффициенты (ПС)'!$G$8+Расчет!$D45*'Коэффициенты (ПС)'!$G$9+$D44*'Коэффициенты (ПС)'!$G$10+$D43*'Коэффициенты (ПС)'!$G$11+$D42*'Коэффициенты (ПС)'!$G$12+$D41*'Коэффициенты (ПС)'!$G$13+$D40*'Коэффициенты (ПС)'!$G$14+$D39*'Коэффициенты (ПС)'!$G$15+$D38*'Коэффициенты (ПС)'!$G$16+$D37*'Коэффициенты (ПС)'!$G$17+$D36*'Коэффициенты (ПС)'!$G$18+$D35*'Коэффициенты (ПС)'!$G$19+$D34*'Коэффициенты (ПС)'!$G$20+$D33*'Коэффициенты (ПС)'!$G$21+$D32*'Коэффициенты (ПС)'!$G$22+$D31*'Коэффициенты (ПС)'!$G$23+$D30*'Коэффициенты (ПС)'!$G$24</f>
        <v>1335.6195766556652</v>
      </c>
      <c r="F47" s="37">
        <f>$D46*'Коэффициенты (БЛ)'!$G$7+Расчет!$D45*'Коэффициенты (БЛ)'!$G$8+$D44*'Коэффициенты (БЛ)'!$G$9+$D43*'Коэффициенты (БЛ)'!$G$10+$D42*'Коэффициенты (БЛ)'!$G$11+$D41*'Коэффициенты (БЛ)'!$G$12+$D40*'Коэффициенты (БЛ)'!$G$13+$D39*'Коэффициенты (БЛ)'!$G$14+$D38*'Коэффициенты (БЛ)'!$G$15+$D37*'Коэффициенты (БЛ)'!$G$16+$D36*'Коэффициенты (БЛ)'!$G$17+$D35*'Коэффициенты (БЛ)'!$G$18+$D34*'Коэффициенты (БЛ)'!$G$19+$D33*'Коэффициенты (БЛ)'!$G$20+$D32*'Коэффициенты (БЛ)'!$G$21+$D31*'Коэффициенты (БЛ)'!$G$22+$D30*'Коэффициенты (БЛ)'!$G$23</f>
        <v>34.954761895069453</v>
      </c>
      <c r="G47" s="43">
        <v>1</v>
      </c>
      <c r="H47" s="43">
        <f t="shared" si="2"/>
        <v>1335.6195766556652</v>
      </c>
      <c r="I47" s="43">
        <f t="shared" si="3"/>
        <v>34.954761895069453</v>
      </c>
    </row>
    <row r="48" spans="2:15" ht="18" customHeight="1" x14ac:dyDescent="0.35">
      <c r="B48" s="49"/>
      <c r="C48" s="36">
        <v>5</v>
      </c>
      <c r="D48" s="37">
        <f>'Обработка руды'!E22</f>
        <v>0</v>
      </c>
      <c r="E48" s="37">
        <f>$D47*'Коэффициенты (ПС)'!$G$8+Расчет!$D46*'Коэффициенты (ПС)'!$G$9+$D45*'Коэффициенты (ПС)'!$G$10+$D44*'Коэффициенты (ПС)'!$G$11+$D43*'Коэффициенты (ПС)'!$G$12+$D42*'Коэффициенты (ПС)'!$G$13+$D41*'Коэффициенты (ПС)'!$G$14+$D40*'Коэффициенты (ПС)'!$G$15+$D39*'Коэффициенты (ПС)'!$G$16+$D38*'Коэффициенты (ПС)'!$G$17+$D37*'Коэффициенты (ПС)'!$G$18+$D36*'Коэффициенты (ПС)'!$G$19+$D35*'Коэффициенты (ПС)'!$G$20+$D34*'Коэффициенты (ПС)'!$G$21+$D33*'Коэффициенты (ПС)'!$G$22+$D32*'Коэффициенты (ПС)'!$G$23+$D31*'Коэффициенты (ПС)'!$G$24+$D30*'Коэффициенты (ПС)'!$G$25</f>
        <v>1218.2082952589112</v>
      </c>
      <c r="F48" s="37">
        <f>$D47*'Коэффициенты (БЛ)'!$G$7+Расчет!$D46*'Коэффициенты (БЛ)'!$G$8+$D45*'Коэффициенты (БЛ)'!$G$9+$D44*'Коэффициенты (БЛ)'!$G$10+$D43*'Коэффициенты (БЛ)'!$G$11+$D42*'Коэффициенты (БЛ)'!$G$12+$D41*'Коэффициенты (БЛ)'!$G$13+$D40*'Коэффициенты (БЛ)'!$G$14+$D39*'Коэффициенты (БЛ)'!$G$15+$D38*'Коэффициенты (БЛ)'!$G$16+$D37*'Коэффициенты (БЛ)'!$G$17+$D36*'Коэффициенты (БЛ)'!$G$18+$D35*'Коэффициенты (БЛ)'!$G$19+$D34*'Коэффициенты (БЛ)'!$G$20+$D33*'Коэффициенты (БЛ)'!$G$21+$D32*'Коэффициенты (БЛ)'!$G$22+$D31*'Коэффициенты (БЛ)'!$G$23+$D30*'Коэффициенты (БЛ)'!$G$24</f>
        <v>31.881968221817875</v>
      </c>
      <c r="G48" s="43">
        <v>1</v>
      </c>
      <c r="H48" s="43">
        <f t="shared" si="2"/>
        <v>1218.2082952589112</v>
      </c>
      <c r="I48" s="43">
        <f t="shared" si="3"/>
        <v>31.881968221817875</v>
      </c>
    </row>
    <row r="49" spans="2:9" ht="18" customHeight="1" x14ac:dyDescent="0.35">
      <c r="B49" s="49"/>
      <c r="C49" s="36">
        <v>6</v>
      </c>
      <c r="D49" s="37">
        <f>'Обработка руды'!E23</f>
        <v>0</v>
      </c>
      <c r="E49" s="37">
        <f>$D48*'Коэффициенты (ПС)'!$G$8+Расчет!$D47*'Коэффициенты (ПС)'!$G$9+$D46*'Коэффициенты (ПС)'!$G$10+$D45*'Коэффициенты (ПС)'!$G$11+$D44*'Коэффициенты (ПС)'!$G$12+$D43*'Коэффициенты (ПС)'!$G$13+$D42*'Коэффициенты (ПС)'!$G$14+$D41*'Коэффициенты (ПС)'!$G$15+$D40*'Коэффициенты (ПС)'!$G$16+$D39*'Коэффициенты (ПС)'!$G$17+$D38*'Коэффициенты (ПС)'!$G$18+$D37*'Коэффициенты (ПС)'!$G$19+$D36*'Коэффициенты (ПС)'!$G$20+$D35*'Коэффициенты (ПС)'!$G$21+$D34*'Коэффициенты (ПС)'!$G$22+$D33*'Коэффициенты (ПС)'!$G$23+$D32*'Коэффициенты (ПС)'!$G$24+$D31*'Коэффициенты (ПС)'!$G$25+$D30*'Коэффициенты (ПС)'!$G$26</f>
        <v>1093.5776874664248</v>
      </c>
      <c r="F49" s="37">
        <f>$D48*'Коэффициенты (БЛ)'!$G$7+Расчет!$D47*'Коэффициенты (БЛ)'!$G$8+$D46*'Коэффициенты (БЛ)'!$G$9+$D45*'Коэффициенты (БЛ)'!$G$10+$D44*'Коэффициенты (БЛ)'!$G$11+$D43*'Коэффициенты (БЛ)'!$G$12+$D42*'Коэффициенты (БЛ)'!$G$13+$D41*'Коэффициенты (БЛ)'!$G$14+$D40*'Коэффициенты (БЛ)'!$G$15+$D39*'Коэффициенты (БЛ)'!$G$16+$D38*'Коэффициенты (БЛ)'!$G$17+$D37*'Коэффициенты (БЛ)'!$G$18+$D36*'Коэффициенты (БЛ)'!$G$19+$D35*'Коэффициенты (БЛ)'!$G$20+$D34*'Коэффициенты (БЛ)'!$G$21+$D33*'Коэффициенты (БЛ)'!$G$22+$D32*'Коэффициенты (БЛ)'!$G$23+$D31*'Коэффициенты (БЛ)'!$G$24+$D30*'Коэффициенты (БЛ)'!$G$25</f>
        <v>28.620236141540527</v>
      </c>
      <c r="G49" s="43">
        <v>1</v>
      </c>
      <c r="H49" s="43">
        <f t="shared" si="2"/>
        <v>1093.5776874664248</v>
      </c>
      <c r="I49" s="43">
        <f t="shared" si="3"/>
        <v>28.620236141540527</v>
      </c>
    </row>
    <row r="50" spans="2:9" ht="18" customHeight="1" x14ac:dyDescent="0.35">
      <c r="B50" s="49"/>
      <c r="C50" s="36">
        <v>7</v>
      </c>
      <c r="D50" s="37">
        <f>'Обработка руды'!E24</f>
        <v>0</v>
      </c>
      <c r="E50" s="37">
        <f>$D49*'Коэффициенты (ПС)'!$G$8+Расчет!$D48*'Коэффициенты (ПС)'!$G$9+$D47*'Коэффициенты (ПС)'!$G$10+$D46*'Коэффициенты (ПС)'!$G$11+$D45*'Коэффициенты (ПС)'!$G$12+$D44*'Коэффициенты (ПС)'!$G$13+$D43*'Коэффициенты (ПС)'!$G$14+$D42*'Коэффициенты (ПС)'!$G$15+$D41*'Коэффициенты (ПС)'!$G$16+$D40*'Коэффициенты (ПС)'!$G$17+$D39*'Коэффициенты (ПС)'!$G$18+$D38*'Коэффициенты (ПС)'!$G$19+$D37*'Коэффициенты (ПС)'!$G$20+$D36*'Коэффициенты (ПС)'!$G$21+$D35*'Коэффициенты (ПС)'!$G$22+$D34*'Коэффициенты (ПС)'!$G$23+$D33*'Коэффициенты (ПС)'!$G$24+$D32*'Коэффициенты (ПС)'!$G$25+$D31*'Коэффициенты (ПС)'!$G$26+$D30*'Коэффициенты (ПС)'!$G$27</f>
        <v>1039.3174684644644</v>
      </c>
      <c r="F50" s="37">
        <f>$D49*'Коэффициенты (БЛ)'!$G$7+Расчет!$D48*'Коэффициенты (БЛ)'!$G$8+$D47*'Коэффициенты (БЛ)'!$G$9+$D46*'Коэффициенты (БЛ)'!$G$10+$D45*'Коэффициенты (БЛ)'!$G$11+$D44*'Коэффициенты (БЛ)'!$G$12+$D43*'Коэффициенты (БЛ)'!$G$13+$D42*'Коэффициенты (БЛ)'!$G$14+$D41*'Коэффициенты (БЛ)'!$G$15+$D40*'Коэффициенты (БЛ)'!$G$16+$D39*'Коэффициенты (БЛ)'!$G$17+$D38*'Коэффициенты (БЛ)'!$G$18+$D37*'Коэффициенты (БЛ)'!$G$19+$D36*'Коэффициенты (БЛ)'!$G$20+$D35*'Коэффициенты (БЛ)'!$G$21+$D34*'Коэффициенты (БЛ)'!$G$22+$D33*'Коэффициенты (БЛ)'!$G$23+$D32*'Коэффициенты (БЛ)'!$G$24+$D31*'Коэффициенты (БЛ)'!$G$25+$D30*'Коэффициенты (БЛ)'!$G$26</f>
        <v>27.200181308010048</v>
      </c>
      <c r="G50" s="43">
        <v>1</v>
      </c>
      <c r="H50" s="43">
        <f t="shared" si="2"/>
        <v>1039.3174684644644</v>
      </c>
      <c r="I50" s="43">
        <f t="shared" si="3"/>
        <v>27.200181308010048</v>
      </c>
    </row>
    <row r="51" spans="2:9" ht="18" customHeight="1" x14ac:dyDescent="0.35">
      <c r="B51" s="49"/>
      <c r="C51" s="36">
        <v>8</v>
      </c>
      <c r="D51" s="37">
        <f>'Обработка руды'!E25</f>
        <v>0</v>
      </c>
      <c r="E51" s="37">
        <f>$D50*'Коэффициенты (ПС)'!$G$8+Расчет!$D49*'Коэффициенты (ПС)'!$G$9+$D48*'Коэффициенты (ПС)'!$G$10+$D47*'Коэффициенты (ПС)'!$G$11+$D46*'Коэффициенты (ПС)'!$G$12+$D45*'Коэффициенты (ПС)'!$G$13+$D44*'Коэффициенты (ПС)'!$G$14+$D43*'Коэффициенты (ПС)'!$G$15+$D42*'Коэффициенты (ПС)'!$G$16+$D41*'Коэффициенты (ПС)'!$G$17+$D40*'Коэффициенты (ПС)'!$G$18+$D39*'Коэффициенты (ПС)'!$G$19+$D38*'Коэффициенты (ПС)'!$G$20+$D37*'Коэффициенты (ПС)'!$G$21+$D36*'Коэффициенты (ПС)'!$G$22+$D35*'Коэффициенты (ПС)'!$G$23+$D34*'Коэффициенты (ПС)'!$G$24+$D33*'Коэффициенты (ПС)'!$G$25+$D32*'Коэффициенты (ПС)'!$G$26+$D31*'Коэффициенты (ПС)'!$G$27+$D30*'Коэффициенты (ПС)'!$G$28</f>
        <v>958.32829145158939</v>
      </c>
      <c r="F51" s="37">
        <f>$D50*'Коэффициенты (БЛ)'!$G$7+Расчет!$D49*'Коэффициенты (БЛ)'!$G$8+$D48*'Коэффициенты (БЛ)'!$G$9+$D47*'Коэффициенты (БЛ)'!$G$10+$D46*'Коэффициенты (БЛ)'!$G$11+$D45*'Коэффициенты (БЛ)'!$G$12+$D44*'Коэффициенты (БЛ)'!$G$13+$D43*'Коэффициенты (БЛ)'!$G$14+$D42*'Коэффициенты (БЛ)'!$G$15+$D41*'Коэффициенты (БЛ)'!$G$16+$D40*'Коэффициенты (БЛ)'!$G$17+$D39*'Коэффициенты (БЛ)'!$G$18+$D38*'Коэффициенты (БЛ)'!$G$19+$D37*'Коэффициенты (БЛ)'!$G$20+$D36*'Коэффициенты (БЛ)'!$G$21+$D35*'Коэффициенты (БЛ)'!$G$22+$D34*'Коэффициенты (БЛ)'!$G$23+$D33*'Коэффициенты (БЛ)'!$G$24+$D32*'Коэффициенты (БЛ)'!$G$25+$D31*'Коэффициенты (БЛ)'!$G$26+$D30*'Коэффициенты (БЛ)'!$G$27</f>
        <v>25.080597672038422</v>
      </c>
      <c r="G51" s="43">
        <v>1</v>
      </c>
      <c r="H51" s="43">
        <f t="shared" si="2"/>
        <v>958.32829145158939</v>
      </c>
      <c r="I51" s="43">
        <f t="shared" si="3"/>
        <v>25.080597672038422</v>
      </c>
    </row>
    <row r="52" spans="2:9" ht="18" customHeight="1" x14ac:dyDescent="0.35">
      <c r="B52" s="49"/>
      <c r="C52" s="36">
        <v>9</v>
      </c>
      <c r="D52" s="37">
        <f>'Обработка руды'!E26</f>
        <v>0</v>
      </c>
      <c r="E52" s="37">
        <f>$D51*'Коэффициенты (ПС)'!$G$8+Расчет!$D50*'Коэффициенты (ПС)'!$G$9+$D49*'Коэффициенты (ПС)'!$G$10+$D48*'Коэффициенты (ПС)'!$G$11+$D47*'Коэффициенты (ПС)'!$G$12+$D46*'Коэффициенты (ПС)'!$G$13+$D45*'Коэффициенты (ПС)'!$G$14+$D44*'Коэффициенты (ПС)'!$G$15+$D43*'Коэффициенты (ПС)'!$G$16+$D42*'Коэффициенты (ПС)'!$G$17+$D41*'Коэффициенты (ПС)'!$G$18+$D40*'Коэффициенты (ПС)'!$G$19+$D39*'Коэффициенты (ПС)'!$G$20+$D38*'Коэффициенты (ПС)'!$G$21+$D37*'Коэффициенты (ПС)'!$G$22+$D36*'Коэффициенты (ПС)'!$G$23+$D35*'Коэффициенты (ПС)'!$G$24+$D34*'Коэффициенты (ПС)'!$G$25+$D33*'Коэффициенты (ПС)'!$G$26+$D32*'Коэффициенты (ПС)'!$G$27+$D31*'Коэффициенты (ПС)'!$G$28+$D30*'Коэффициенты (ПС)'!$G$29</f>
        <v>913.38436634126265</v>
      </c>
      <c r="F52" s="37">
        <f>$D51*'Коэффициенты (БЛ)'!$G$7+Расчет!$D50*'Коэффициенты (БЛ)'!$G$8+$D49*'Коэффициенты (БЛ)'!$G$9+$D48*'Коэффициенты (БЛ)'!$G$10+$D47*'Коэффициенты (БЛ)'!$G$11+$D46*'Коэффициенты (БЛ)'!$G$12+$D45*'Коэффициенты (БЛ)'!$G$13+$D44*'Коэффициенты (БЛ)'!$G$14+$D43*'Коэффициенты (БЛ)'!$G$15+$D42*'Коэффициенты (БЛ)'!$G$16+$D41*'Коэффициенты (БЛ)'!$G$17+$D40*'Коэффициенты (БЛ)'!$G$18+$D39*'Коэффициенты (БЛ)'!$G$19+$D38*'Коэффициенты (БЛ)'!$G$20+$D37*'Коэффициенты (БЛ)'!$G$21+$D36*'Коэффициенты (БЛ)'!$G$22+$D35*'Коэффициенты (БЛ)'!$G$23+$D34*'Коэффициенты (БЛ)'!$G$24+$D33*'Коэффициенты (БЛ)'!$G$25+$D32*'Коэффициенты (БЛ)'!$G$26+$D31*'Коэффициенты (БЛ)'!$G$27+$D30*'Коэффициенты (БЛ)'!$G$28</f>
        <v>23.90436139314599</v>
      </c>
      <c r="G52" s="43">
        <v>1</v>
      </c>
      <c r="H52" s="43">
        <f t="shared" si="2"/>
        <v>913.38436634126265</v>
      </c>
      <c r="I52" s="43">
        <f t="shared" si="3"/>
        <v>23.90436139314599</v>
      </c>
    </row>
    <row r="53" spans="2:9" ht="18" customHeight="1" x14ac:dyDescent="0.35">
      <c r="B53" s="49"/>
      <c r="C53" s="36">
        <v>10</v>
      </c>
      <c r="D53" s="37">
        <f>'Обработка руды'!E27</f>
        <v>0</v>
      </c>
      <c r="E53" s="37">
        <f>$D52*'Коэффициенты (ПС)'!$G$8+Расчет!$D51*'Коэффициенты (ПС)'!$G$9+$D50*'Коэффициенты (ПС)'!$G$10+$D49*'Коэффициенты (ПС)'!$G$11+$D48*'Коэффициенты (ПС)'!$G$12+$D47*'Коэффициенты (ПС)'!$G$13+$D46*'Коэффициенты (ПС)'!$G$14+$D45*'Коэффициенты (ПС)'!$G$15+$D44*'Коэффициенты (ПС)'!$G$16+$D43*'Коэффициенты (ПС)'!$G$17+$D42*'Коэффициенты (ПС)'!$G$18+$D41*'Коэффициенты (ПС)'!$G$19+$D40*'Коэффициенты (ПС)'!$G$20+$D39*'Коэффициенты (ПС)'!$G$21+$D38*'Коэффициенты (ПС)'!$G$22+$D37*'Коэффициенты (ПС)'!$G$23+$D36*'Коэффициенты (ПС)'!$G$24+$D35*'Коэффициенты (ПС)'!$G$25+$D34*'Коэффициенты (ПС)'!$G$26+$D33*'Коэффициенты (ПС)'!$G$27+$D32*'Коэффициенты (ПС)'!$G$28+$D31*'Коэффициенты (ПС)'!$G$29+$D30*'Коэффициенты (ПС)'!$G$30</f>
        <v>874.36809085382242</v>
      </c>
      <c r="F53" s="37">
        <f>$D52*'Коэффициенты (БЛ)'!$G$7+Расчет!$D51*'Коэффициенты (БЛ)'!$G$8+$D50*'Коэффициенты (БЛ)'!$G$9+$D49*'Коэффициенты (БЛ)'!$G$10+$D48*'Коэффициенты (БЛ)'!$G$11+$D47*'Коэффициенты (БЛ)'!$G$12+$D46*'Коэффициенты (БЛ)'!$G$13+$D45*'Коэффициенты (БЛ)'!$G$14+$D44*'Коэффициенты (БЛ)'!$G$15+$D43*'Коэффициенты (БЛ)'!$G$16+$D42*'Коэффициенты (БЛ)'!$G$17+$D41*'Коэффициенты (БЛ)'!$G$18+$D40*'Коэффициенты (БЛ)'!$G$19+$D39*'Коэффициенты (БЛ)'!$G$20+$D38*'Коэффициенты (БЛ)'!$G$21+$D37*'Коэффициенты (БЛ)'!$G$22+$D36*'Коэффициенты (БЛ)'!$G$23+$D35*'Коэффициенты (БЛ)'!$G$24+$D34*'Коэффициенты (БЛ)'!$G$25+$D33*'Коэффициенты (БЛ)'!$G$26+$D32*'Коэффициенты (БЛ)'!$G$27+$D31*'Коэффициенты (БЛ)'!$G$28+$D30*'Коэффициенты (БЛ)'!$G$29</f>
        <v>22.883258795121197</v>
      </c>
      <c r="G53" s="43">
        <v>1</v>
      </c>
      <c r="H53" s="43">
        <f t="shared" si="2"/>
        <v>874.36809085382242</v>
      </c>
      <c r="I53" s="43">
        <f t="shared" si="3"/>
        <v>22.883258795121197</v>
      </c>
    </row>
    <row r="54" spans="2:9" ht="18" customHeight="1" x14ac:dyDescent="0.35">
      <c r="B54" s="49"/>
      <c r="C54" s="36">
        <v>11</v>
      </c>
      <c r="D54" s="37">
        <f>'Обработка руды'!E28</f>
        <v>84501.521165183352</v>
      </c>
      <c r="E54" s="37">
        <f>$D53*'Коэффициенты (ПС)'!$G$8+Расчет!$D52*'Коэффициенты (ПС)'!$G$9+$D51*'Коэффициенты (ПС)'!$G$10+$D50*'Коэффициенты (ПС)'!$G$11+$D49*'Коэффициенты (ПС)'!$G$12+$D48*'Коэффициенты (ПС)'!$G$13+$D47*'Коэффициенты (ПС)'!$G$14+$D46*'Коэффициенты (ПС)'!$G$15+$D45*'Коэффициенты (ПС)'!$G$16+$D44*'Коэффициенты (ПС)'!$G$17+$D43*'Коэффициенты (ПС)'!$G$18+$D42*'Коэффициенты (ПС)'!$G$19+$D41*'Коэффициенты (ПС)'!$G$20+$D40*'Коэффициенты (ПС)'!$G$21+$D39*'Коэффициенты (ПС)'!$G$22+$D38*'Коэффициенты (ПС)'!$G$23+$D37*'Коэффициенты (ПС)'!$G$24+$D36*'Коэффициенты (ПС)'!$G$25+$D35*'Коэффициенты (ПС)'!$G$26+$D34*'Коэффициенты (ПС)'!$G$27+$D33*'Коэффициенты (ПС)'!$G$28+$D32*'Коэффициенты (ПС)'!$G$29+$D31*'Коэффициенты (ПС)'!$G$30+$D30*'Коэффициенты (ПС)'!$G$31</f>
        <v>827.62542879854618</v>
      </c>
      <c r="F54" s="37">
        <f>$D53*'Коэффициенты (БЛ)'!$G$7+Расчет!$D52*'Коэффициенты (БЛ)'!$G$8+$D51*'Коэффициенты (БЛ)'!$G$9+$D50*'Коэффициенты (БЛ)'!$G$10+$D49*'Коэффициенты (БЛ)'!$G$11+$D48*'Коэффициенты (БЛ)'!$G$12+$D47*'Коэффициенты (БЛ)'!$G$13+$D46*'Коэффициенты (БЛ)'!$G$14+$D45*'Коэффициенты (БЛ)'!$G$15+$D44*'Коэффициенты (БЛ)'!$G$16+$D43*'Коэффициенты (БЛ)'!$G$17+$D42*'Коэффициенты (БЛ)'!$G$18+$D41*'Коэффициенты (БЛ)'!$G$19+$D40*'Коэффициенты (БЛ)'!$G$20+$D39*'Коэффициенты (БЛ)'!$G$21+$D38*'Коэффициенты (БЛ)'!$G$22+$D37*'Коэффициенты (БЛ)'!$G$23+$D36*'Коэффициенты (БЛ)'!$G$24+$D35*'Коэффициенты (БЛ)'!$G$25+$D34*'Коэффициенты (БЛ)'!$G$26+$D33*'Коэффициенты (БЛ)'!$G$27+$D32*'Коэффициенты (БЛ)'!$G$28+$D31*'Коэффициенты (БЛ)'!$G$29+$D30*'Коэффициенты (БЛ)'!$G$30</f>
        <v>21.659947418857154</v>
      </c>
      <c r="G54" s="43">
        <v>1</v>
      </c>
      <c r="H54" s="43">
        <f t="shared" si="2"/>
        <v>827.62542879854618</v>
      </c>
      <c r="I54" s="43">
        <f t="shared" si="3"/>
        <v>21.659947418857154</v>
      </c>
    </row>
    <row r="55" spans="2:9" ht="18" customHeight="1" x14ac:dyDescent="0.35">
      <c r="B55" s="49"/>
      <c r="C55" s="36">
        <v>12</v>
      </c>
      <c r="D55" s="37">
        <f>'Обработка руды'!E29</f>
        <v>170086.39516581775</v>
      </c>
      <c r="E55" s="37">
        <f>$D54*'Коэффициенты (ПС)'!$G$8+Расчет!$D53*'Коэффициенты (ПС)'!$G$9+$D52*'Коэффициенты (ПС)'!$G$10+$D51*'Коэффициенты (ПС)'!$G$11+$D50*'Коэффициенты (ПС)'!$G$12+$D49*'Коэффициенты (ПС)'!$G$13+$D48*'Коэффициенты (ПС)'!$G$14+$D47*'Коэффициенты (ПС)'!$G$15+$D46*'Коэффициенты (ПС)'!$G$16+$D45*'Коэффициенты (ПС)'!$G$17+$D44*'Коэффициенты (ПС)'!$G$18+$D43*'Коэффициенты (ПС)'!$G$19+$D42*'Коэффициенты (ПС)'!$G$20+$D41*'Коэффициенты (ПС)'!$G$21+$D40*'Коэффициенты (ПС)'!$G$22+$D39*'Коэффициенты (ПС)'!$G$23+$D38*'Коэффициенты (ПС)'!$G$24+$D37*'Коэффициенты (ПС)'!$G$25+$D36*'Коэффициенты (ПС)'!$G$26+$D35*'Коэффициенты (ПС)'!$G$27+$D34*'Коэффициенты (ПС)'!$G$28+$D33*'Коэффициенты (ПС)'!$G$29+$D32*'Коэффициенты (ПС)'!$G$30+$D31*'Коэффициенты (ПС)'!$G$31+$D30*'Коэффициенты (ПС)'!$G$32</f>
        <v>1755.4484406679844</v>
      </c>
      <c r="F55" s="37">
        <f>$D54*'Коэффициенты (БЛ)'!$G$7+Расчет!$D53*'Коэффициенты (БЛ)'!$G$8+$D52*'Коэффициенты (БЛ)'!$G$9+$D51*'Коэффициенты (БЛ)'!$G$10+$D50*'Коэффициенты (БЛ)'!$G$11+$D49*'Коэффициенты (БЛ)'!$G$12+$D48*'Коэффициенты (БЛ)'!$G$13+$D47*'Коэффициенты (БЛ)'!$G$14+$D46*'Коэффициенты (БЛ)'!$G$15+$D45*'Коэффициенты (БЛ)'!$G$16+$D44*'Коэффициенты (БЛ)'!$G$17+$D43*'Коэффициенты (БЛ)'!$G$18+$D42*'Коэффициенты (БЛ)'!$G$19+$D41*'Коэффициенты (БЛ)'!$G$20+$D40*'Коэффициенты (БЛ)'!$G$21+$D39*'Коэффициенты (БЛ)'!$G$22+$D38*'Коэффициенты (БЛ)'!$G$23+$D37*'Коэффициенты (БЛ)'!$G$24+$D36*'Коэффициенты (БЛ)'!$G$25+$D35*'Коэффициенты (БЛ)'!$G$26+$D34*'Коэффициенты (БЛ)'!$G$27+$D33*'Коэффициенты (БЛ)'!$G$28+$D32*'Коэффициенты (БЛ)'!$G$29+$D31*'Коэффициенты (БЛ)'!$G$30+$D30*'Коэффициенты (БЛ)'!$G$31</f>
        <v>45.942185435965541</v>
      </c>
      <c r="G55" s="43">
        <v>1</v>
      </c>
      <c r="H55" s="43">
        <f t="shared" si="2"/>
        <v>1755.4484406679844</v>
      </c>
      <c r="I55" s="43">
        <f t="shared" si="3"/>
        <v>45.942185435965541</v>
      </c>
    </row>
    <row r="56" spans="2:9" ht="18" customHeight="1" x14ac:dyDescent="0.35">
      <c r="B56" s="49">
        <v>2028</v>
      </c>
      <c r="C56" s="36">
        <v>1</v>
      </c>
      <c r="D56" s="37">
        <f>'Обработка руды'!E30</f>
        <v>0</v>
      </c>
      <c r="E56" s="37">
        <f>$D55*'Коэффициенты (ПС)'!$G$8+Расчет!$D54*'Коэффициенты (ПС)'!$G$9+$D53*'Коэффициенты (ПС)'!$G$10+$D52*'Коэффициенты (ПС)'!$G$11+$D51*'Коэффициенты (ПС)'!$G$12+$D50*'Коэффициенты (ПС)'!$G$13+$D49*'Коэффициенты (ПС)'!$G$14+$D48*'Коэффициенты (ПС)'!$G$15+$D47*'Коэффициенты (ПС)'!$G$16+$D46*'Коэффициенты (ПС)'!$G$17+$D45*'Коэффициенты (ПС)'!$G$18+$D44*'Коэффициенты (ПС)'!$G$19+$D43*'Коэффициенты (ПС)'!$G$20+$D42*'Коэффициенты (ПС)'!$G$21+$D41*'Коэффициенты (ПС)'!$G$22+$D40*'Коэффициенты (ПС)'!$G$23+$D39*'Коэффициенты (ПС)'!$G$24+$D38*'Коэффициенты (ПС)'!$G$25+$D37*'Коэффициенты (ПС)'!$G$26+$D36*'Коэффициенты (ПС)'!$G$27+$D35*'Коэффициенты (ПС)'!$G$28+$D34*'Коэффициенты (ПС)'!$G$29+$D33*'Коэффициенты (ПС)'!$G$30+$D32*'Коэффициенты (ПС)'!$G$31+$D31*'Коэффициенты (ПС)'!$G$32+$D30*'Коэффициенты (ПС)'!$G$33</f>
        <v>3006.7761044299064</v>
      </c>
      <c r="F56" s="37">
        <f>$D55*'Коэффициенты (БЛ)'!$G$7+Расчет!$D54*'Коэффициенты (БЛ)'!$G$8+$D53*'Коэффициенты (БЛ)'!$G$9+$D52*'Коэффициенты (БЛ)'!$G$10+$D51*'Коэффициенты (БЛ)'!$G$11+$D50*'Коэффициенты (БЛ)'!$G$12+$D49*'Коэффициенты (БЛ)'!$G$13+$D48*'Коэффициенты (БЛ)'!$G$14+$D47*'Коэффициенты (БЛ)'!$G$15+$D46*'Коэффициенты (БЛ)'!$G$16+$D45*'Коэффициенты (БЛ)'!$G$17+$D44*'Коэффициенты (БЛ)'!$G$18+$D43*'Коэффициенты (БЛ)'!$G$19+$D42*'Коэффициенты (БЛ)'!$G$20+$D41*'Коэффициенты (БЛ)'!$G$21+$D40*'Коэффициенты (БЛ)'!$G$22+$D39*'Коэффициенты (БЛ)'!$G$23+$D38*'Коэффициенты (БЛ)'!$G$24+$D37*'Коэффициенты (БЛ)'!$G$25+$D36*'Коэффициенты (БЛ)'!$G$26+$D35*'Коэффициенты (БЛ)'!$G$27+$D34*'Коэффициенты (БЛ)'!$G$28+$D33*'Коэффициенты (БЛ)'!$G$29+$D32*'Коэффициенты (БЛ)'!$G$30+$D31*'Коэффициенты (БЛ)'!$G$31+$D30*'Коэффициенты (БЛ)'!$G$32</f>
        <v>78.690927146561208</v>
      </c>
      <c r="G56" s="43">
        <v>1</v>
      </c>
      <c r="H56" s="43">
        <f t="shared" si="2"/>
        <v>3006.7761044299064</v>
      </c>
      <c r="I56" s="43">
        <f t="shared" si="3"/>
        <v>78.690927146561208</v>
      </c>
    </row>
    <row r="57" spans="2:9" ht="18" customHeight="1" x14ac:dyDescent="0.35">
      <c r="B57" s="49"/>
      <c r="C57" s="36">
        <v>2</v>
      </c>
      <c r="D57" s="37">
        <f>'Обработка руды'!E31</f>
        <v>73126.899184232068</v>
      </c>
      <c r="E57" s="37">
        <f>$D56*'Коэффициенты (ПС)'!$G$8+Расчет!$D55*'Коэффициенты (ПС)'!$G$9+$D54*'Коэффициенты (ПС)'!$G$10+$D53*'Коэффициенты (ПС)'!$G$11+$D52*'Коэффициенты (ПС)'!$G$12+$D51*'Коэффициенты (ПС)'!$G$13+$D50*'Коэффициенты (ПС)'!$G$14+$D49*'Коэффициенты (ПС)'!$G$15+$D48*'Коэффициенты (ПС)'!$G$16+$D47*'Коэффициенты (ПС)'!$G$17+$D46*'Коэффициенты (ПС)'!$G$18+$D45*'Коэффициенты (ПС)'!$G$19+$D44*'Коэффициенты (ПС)'!$G$20+$D43*'Коэффициенты (ПС)'!$G$21+$D42*'Коэффициенты (ПС)'!$G$22+$D41*'Коэффициенты (ПС)'!$G$23+$D40*'Коэффициенты (ПС)'!$G$24+$D39*'Коэффициенты (ПС)'!$G$25+$D38*'Коэффициенты (ПС)'!$G$26+$D37*'Коэффициенты (ПС)'!$G$27+$D36*'Коэффициенты (ПС)'!$G$28+$D35*'Коэффициенты (ПС)'!$G$29+$D34*'Коэффициенты (ПС)'!$G$30+$D33*'Коэффициенты (ПС)'!$G$31+$D32*'Коэффициенты (ПС)'!$G$32+$D31*'Коэффициенты (ПС)'!$G$33+$D30*'Коэффициенты (ПС)'!$G$34</f>
        <v>1755.0552817549465</v>
      </c>
      <c r="F57" s="37">
        <f>$D56*'Коэффициенты (БЛ)'!$G$7+Расчет!$D55*'Коэффициенты (БЛ)'!$G$8+$D54*'Коэффициенты (БЛ)'!$G$9+$D53*'Коэффициенты (БЛ)'!$G$10+$D52*'Коэффициенты (БЛ)'!$G$11+$D51*'Коэффициенты (БЛ)'!$G$12+$D50*'Коэффициенты (БЛ)'!$G$13+$D49*'Коэффициенты (БЛ)'!$G$14+$D48*'Коэффициенты (БЛ)'!$G$15+$D47*'Коэффициенты (БЛ)'!$G$16+$D46*'Коэффициенты (БЛ)'!$G$17+$D45*'Коэффициенты (БЛ)'!$G$18+$D44*'Коэффициенты (БЛ)'!$G$19+$D43*'Коэффициенты (БЛ)'!$G$20+$D42*'Коэффициенты (БЛ)'!$G$21+$D41*'Коэффициенты (БЛ)'!$G$22+$D40*'Коэффициенты (БЛ)'!$G$23+$D39*'Коэффициенты (БЛ)'!$G$24+$D38*'Коэффициенты (БЛ)'!$G$25+$D37*'Коэффициенты (БЛ)'!$G$26+$D36*'Коэффициенты (БЛ)'!$G$27+$D35*'Коэффициенты (БЛ)'!$G$28+$D34*'Коэффициенты (БЛ)'!$G$29+$D33*'Коэффициенты (БЛ)'!$G$30+$D32*'Коэффициенты (БЛ)'!$G$31+$D31*'Коэффициенты (БЛ)'!$G$32+$D30*'Коэффициенты (БЛ)'!$G$33</f>
        <v>45.931895996942373</v>
      </c>
      <c r="G57" s="43">
        <v>1</v>
      </c>
      <c r="H57" s="43">
        <f t="shared" si="2"/>
        <v>1755.0552817549465</v>
      </c>
      <c r="I57" s="43">
        <f t="shared" si="3"/>
        <v>45.931895996942373</v>
      </c>
    </row>
    <row r="58" spans="2:9" ht="18" customHeight="1" x14ac:dyDescent="0.35">
      <c r="B58" s="49"/>
      <c r="C58" s="36">
        <v>3</v>
      </c>
      <c r="D58" s="37">
        <f>'Обработка руды'!E32</f>
        <v>0</v>
      </c>
      <c r="E58" s="37">
        <f>$D57*'Коэффициенты (ПС)'!$G$8+Расчет!$D56*'Коэффициенты (ПС)'!$G$9+$D55*'Коэффициенты (ПС)'!$G$10+$D54*'Коэффициенты (ПС)'!$G$11+$D53*'Коэффициенты (ПС)'!$G$12+$D52*'Коэффициенты (ПС)'!$G$13+$D51*'Коэффициенты (ПС)'!$G$14+$D50*'Коэффициенты (ПС)'!$G$15+$D49*'Коэффициенты (ПС)'!$G$16+$D48*'Коэффициенты (ПС)'!$G$17+$D47*'Коэффициенты (ПС)'!$G$18+$D46*'Коэффициенты (ПС)'!$G$19+$D45*'Коэффициенты (ПС)'!$G$20+$D44*'Коэффициенты (ПС)'!$G$21+$D43*'Коэффициенты (ПС)'!$G$22+$D42*'Коэффициенты (ПС)'!$G$23+$D41*'Коэффициенты (ПС)'!$G$24+$D40*'Коэффициенты (ПС)'!$G$25+$D39*'Коэффициенты (ПС)'!$G$26+$D38*'Коэффициенты (ПС)'!$G$27+$D37*'Коэффициенты (ПС)'!$G$28+$D36*'Коэффициенты (ПС)'!$G$29+$D35*'Коэффициенты (ПС)'!$G$30+$D34*'Коэффициенты (ПС)'!$G$31+$D33*'Коэффициенты (ПС)'!$G$32+$D32*'Коэффициенты (ПС)'!$G$33+$D31*'Коэффициенты (ПС)'!$G$34+$D30*'Коэффициенты (ПС)'!$G$35</f>
        <v>2408.0345440155284</v>
      </c>
      <c r="F58" s="37">
        <f>$D57*'Коэффициенты (БЛ)'!$G$7+Расчет!$D56*'Коэффициенты (БЛ)'!$G$8+$D55*'Коэффициенты (БЛ)'!$G$9+$D54*'Коэффициенты (БЛ)'!$G$10+$D53*'Коэффициенты (БЛ)'!$G$11+$D52*'Коэффициенты (БЛ)'!$G$12+$D51*'Коэффициенты (БЛ)'!$G$13+$D50*'Коэффициенты (БЛ)'!$G$14+$D49*'Коэффициенты (БЛ)'!$G$15+$D48*'Коэффициенты (БЛ)'!$G$16+$D47*'Коэффициенты (БЛ)'!$G$17+$D46*'Коэффициенты (БЛ)'!$G$18+$D45*'Коэффициенты (БЛ)'!$G$19+$D44*'Коэффициенты (БЛ)'!$G$20+$D43*'Коэффициенты (БЛ)'!$G$21+$D42*'Коэффициенты (БЛ)'!$G$22+$D41*'Коэффициенты (БЛ)'!$G$23+$D40*'Коэффициенты (БЛ)'!$G$24+$D39*'Коэффициенты (БЛ)'!$G$25+$D38*'Коэффициенты (БЛ)'!$G$26+$D37*'Коэффициенты (БЛ)'!$G$27+$D36*'Коэффициенты (БЛ)'!$G$28+$D35*'Коэффициенты (БЛ)'!$G$29+$D34*'Коэффициенты (БЛ)'!$G$30+$D33*'Коэффициенты (БЛ)'!$G$31+$D32*'Коэффициенты (БЛ)'!$G$32+$D31*'Коэффициенты (БЛ)'!$G$33+$D30*'Коэффициенты (БЛ)'!$G$34</f>
        <v>63.021144338067195</v>
      </c>
      <c r="G58" s="43">
        <v>1</v>
      </c>
      <c r="H58" s="43">
        <f t="shared" si="2"/>
        <v>2408.0345440155284</v>
      </c>
      <c r="I58" s="43">
        <f t="shared" si="3"/>
        <v>63.021144338067195</v>
      </c>
    </row>
    <row r="59" spans="2:9" ht="18" customHeight="1" x14ac:dyDescent="0.35">
      <c r="B59" s="49"/>
      <c r="C59" s="36">
        <v>4</v>
      </c>
      <c r="D59" s="37">
        <f>'Обработка руды'!E33</f>
        <v>0</v>
      </c>
      <c r="E59" s="37">
        <f>$D58*'Коэффициенты (ПС)'!$G$8+Расчет!$D57*'Коэффициенты (ПС)'!$G$9+$D56*'Коэффициенты (ПС)'!$G$10+$D55*'Коэффициенты (ПС)'!$G$11+$D54*'Коэффициенты (ПС)'!$G$12+$D53*'Коэффициенты (ПС)'!$G$13+$D52*'Коэффициенты (ПС)'!$G$14+$D51*'Коэффициенты (ПС)'!$G$15+$D50*'Коэффициенты (ПС)'!$G$16+$D49*'Коэффициенты (ПС)'!$G$17+$D48*'Коэффициенты (ПС)'!$G$18+$D47*'Коэффициенты (ПС)'!$G$19+$D46*'Коэффициенты (ПС)'!$G$20+$D45*'Коэффициенты (ПС)'!$G$21+$D44*'Коэффициенты (ПС)'!$G$22+$D43*'Коэффициенты (ПС)'!$G$23+$D42*'Коэффициенты (ПС)'!$G$24+$D41*'Коэффициенты (ПС)'!$G$25+$D40*'Коэффициенты (ПС)'!$G$26+$D39*'Коэффициенты (ПС)'!$G$27+$D38*'Коэффициенты (ПС)'!$G$28+$D37*'Коэффициенты (ПС)'!$G$29+$D36*'Коэффициенты (ПС)'!$G$30+$D35*'Коэффициенты (ПС)'!$G$31+$D34*'Коэффициенты (ПС)'!$G$32+$D33*'Коэффициенты (ПС)'!$G$33+$D32*'Коэффициенты (ПС)'!$G$34+$D31*'Коэффициенты (ПС)'!$G$35+$D30*'Коэффициенты (ПС)'!$G$36</f>
        <v>1723.8601022862622</v>
      </c>
      <c r="F59" s="37">
        <f>$D58*'Коэффициенты (БЛ)'!$G$7+Расчет!$D57*'Коэффициенты (БЛ)'!$G$8+$D56*'Коэффициенты (БЛ)'!$G$9+$D55*'Коэффициенты (БЛ)'!$G$10+$D54*'Коэффициенты (БЛ)'!$G$11+$D53*'Коэффициенты (БЛ)'!$G$12+$D52*'Коэффициенты (БЛ)'!$G$13+$D51*'Коэффициенты (БЛ)'!$G$14+$D50*'Коэффициенты (БЛ)'!$G$15+$D49*'Коэффициенты (БЛ)'!$G$16+$D48*'Коэффициенты (БЛ)'!$G$17+$D47*'Коэффициенты (БЛ)'!$G$18+$D46*'Коэффициенты (БЛ)'!$G$19+$D45*'Коэффициенты (БЛ)'!$G$20+$D44*'Коэффициенты (БЛ)'!$G$21+$D43*'Коэффициенты (БЛ)'!$G$22+$D42*'Коэффициенты (БЛ)'!$G$23+$D41*'Коэффициенты (БЛ)'!$G$24+$D40*'Коэффициенты (БЛ)'!$G$25+$D39*'Коэффициенты (БЛ)'!$G$26+$D38*'Коэффициенты (БЛ)'!$G$27+$D37*'Коэффициенты (БЛ)'!$G$28+$D36*'Коэффициенты (БЛ)'!$G$29+$D35*'Коэффициенты (БЛ)'!$G$30+$D34*'Коэффициенты (БЛ)'!$G$31+$D33*'Коэффициенты (БЛ)'!$G$32+$D32*'Коэффициенты (БЛ)'!$G$33+$D31*'Коэффициенты (БЛ)'!$G$34+$D30*'Коэффициенты (БЛ)'!$G$35</f>
        <v>45.115480836772129</v>
      </c>
      <c r="G59" s="43">
        <v>1</v>
      </c>
      <c r="H59" s="43">
        <f t="shared" si="2"/>
        <v>1723.8601022862622</v>
      </c>
      <c r="I59" s="43">
        <f t="shared" si="3"/>
        <v>45.115480836772129</v>
      </c>
    </row>
    <row r="60" spans="2:9" ht="18" customHeight="1" x14ac:dyDescent="0.35">
      <c r="B60" s="49"/>
      <c r="C60" s="36">
        <v>5</v>
      </c>
      <c r="D60" s="37">
        <f>'Обработка руды'!E34</f>
        <v>0</v>
      </c>
      <c r="E60" s="37">
        <f>$D59*'Коэффициенты (ПС)'!$G$8+Расчет!$D58*'Коэффициенты (ПС)'!$G$9+$D57*'Коэффициенты (ПС)'!$G$10+$D56*'Коэффициенты (ПС)'!$G$11+$D55*'Коэффициенты (ПС)'!$G$12+$D54*'Коэффициенты (ПС)'!$G$13+$D53*'Коэффициенты (ПС)'!$G$14+$D52*'Коэффициенты (ПС)'!$G$15+$D51*'Коэффициенты (ПС)'!$G$16+$D50*'Коэффициенты (ПС)'!$G$17+$D49*'Коэффициенты (ПС)'!$G$18+$D48*'Коэффициенты (ПС)'!$G$19+$D47*'Коэффициенты (ПС)'!$G$20+$D46*'Коэффициенты (ПС)'!$G$21+$D45*'Коэффициенты (ПС)'!$G$22+$D44*'Коэффициенты (ПС)'!$G$23+$D43*'Коэффициенты (ПС)'!$G$24+$D42*'Коэффициенты (ПС)'!$G$25+$D41*'Коэффициенты (ПС)'!$G$26+$D40*'Коэффициенты (ПС)'!$G$27+$D39*'Коэффициенты (ПС)'!$G$28+$D38*'Коэффициенты (ПС)'!$G$29+$D37*'Коэффициенты (ПС)'!$G$30+$D36*'Коэффициенты (ПС)'!$G$31+$D35*'Коэффициенты (ПС)'!$G$32+$D34*'Коэффициенты (ПС)'!$G$33+$D33*'Коэффициенты (ПС)'!$G$34+$D32*'Коэффициенты (ПС)'!$G$35+$D31*'Коэффициенты (ПС)'!$G$36+$D30*'Коэффициенты (ПС)'!$G$37</f>
        <v>1607.1416907003145</v>
      </c>
      <c r="F60" s="37">
        <f>$D59*'Коэффициенты (БЛ)'!$G$7+Расчет!$D58*'Коэффициенты (БЛ)'!$G$8+$D57*'Коэффициенты (БЛ)'!$G$9+$D56*'Коэффициенты (БЛ)'!$G$10+$D55*'Коэффициенты (БЛ)'!$G$11+$D54*'Коэффициенты (БЛ)'!$G$12+$D53*'Коэффициенты (БЛ)'!$G$13+$D52*'Коэффициенты (БЛ)'!$G$14+$D51*'Коэффициенты (БЛ)'!$G$15+$D50*'Коэффициенты (БЛ)'!$G$16+$D49*'Коэффициенты (БЛ)'!$G$17+$D48*'Коэффициенты (БЛ)'!$G$18+$D47*'Коэффициенты (БЛ)'!$G$19+$D46*'Коэффициенты (БЛ)'!$G$20+$D45*'Коэффициенты (БЛ)'!$G$21+$D44*'Коэффициенты (БЛ)'!$G$22+$D43*'Коэффициенты (БЛ)'!$G$23+$D42*'Коэффициенты (БЛ)'!$G$24+$D41*'Коэффициенты (БЛ)'!$G$25+$D40*'Коэффициенты (БЛ)'!$G$26+$D39*'Коэффициенты (БЛ)'!$G$27+$D38*'Коэффициенты (БЛ)'!$G$28+$D37*'Коэффициенты (БЛ)'!$G$29+$D36*'Коэффициенты (БЛ)'!$G$30+$D35*'Коэффициенты (БЛ)'!$G$31+$D34*'Коэффициенты (БЛ)'!$G$32+$D33*'Коэффициенты (БЛ)'!$G$33+$D32*'Коэффициенты (БЛ)'!$G$34+$D31*'Коэффициенты (БЛ)'!$G$35+$D30*'Коэффициенты (БЛ)'!$G$36</f>
        <v>42.060820395231346</v>
      </c>
      <c r="G60" s="43">
        <v>1</v>
      </c>
      <c r="H60" s="43">
        <f t="shared" si="2"/>
        <v>1607.1416907003145</v>
      </c>
      <c r="I60" s="43">
        <f t="shared" si="3"/>
        <v>42.060820395231346</v>
      </c>
    </row>
    <row r="61" spans="2:9" ht="18" customHeight="1" x14ac:dyDescent="0.35">
      <c r="B61" s="49"/>
      <c r="C61" s="36">
        <v>6</v>
      </c>
      <c r="D61" s="37">
        <f>'Обработка руды'!E35</f>
        <v>0</v>
      </c>
      <c r="E61" s="37">
        <f>$D60*'Коэффициенты (ПС)'!$G$8+Расчет!$D59*'Коэффициенты (ПС)'!$G$9+$D58*'Коэффициенты (ПС)'!$G$10+$D57*'Коэффициенты (ПС)'!$G$11+$D56*'Коэффициенты (ПС)'!$G$12+$D55*'Коэффициенты (ПС)'!$G$13+$D54*'Коэффициенты (ПС)'!$G$14+$D53*'Коэффициенты (ПС)'!$G$15+$D52*'Коэффициенты (ПС)'!$G$16+$D51*'Коэффициенты (ПС)'!$G$17+$D50*'Коэффициенты (ПС)'!$G$18+$D49*'Коэффициенты (ПС)'!$G$19+$D48*'Коэффициенты (ПС)'!$G$20+$D47*'Коэффициенты (ПС)'!$G$21+$D46*'Коэффициенты (ПС)'!$G$22+$D45*'Коэффициенты (ПС)'!$G$23+$D44*'Коэффициенты (ПС)'!$G$24+$D43*'Коэффициенты (ПС)'!$G$25+$D42*'Коэффициенты (ПС)'!$G$26+$D41*'Коэффициенты (ПС)'!$G$27+$D40*'Коэффициенты (ПС)'!$G$28+$D39*'Коэффициенты (ПС)'!$G$29+$D38*'Коэффициенты (ПС)'!$G$30+$D37*'Коэффициенты (ПС)'!$G$31+$D36*'Коэффициенты (ПС)'!$G$32+$D35*'Коэффициенты (ПС)'!$G$33+$D34*'Коэффициенты (ПС)'!$G$34+$D33*'Коэффициенты (ПС)'!$G$35+$D32*'Коэффициенты (ПС)'!$G$36+$D31*'Коэффициенты (ПС)'!$G$37+$D30*'Коэффициенты (ПС)'!$G$38</f>
        <v>1465.1831042482825</v>
      </c>
      <c r="F61" s="37">
        <f>$D60*'Коэффициенты (БЛ)'!$G$7+Расчет!$D59*'Коэффициенты (БЛ)'!$G$8+$D58*'Коэффициенты (БЛ)'!$G$9+$D57*'Коэффициенты (БЛ)'!$G$10+$D56*'Коэффициенты (БЛ)'!$G$11+$D55*'Коэффициенты (БЛ)'!$G$12+$D54*'Коэффициенты (БЛ)'!$G$13+$D53*'Коэффициенты (БЛ)'!$G$14+$D52*'Коэффициенты (БЛ)'!$G$15+$D51*'Коэффициенты (БЛ)'!$G$16+$D50*'Коэффициенты (БЛ)'!$G$17+$D49*'Коэффициенты (БЛ)'!$G$18+$D48*'Коэффициенты (БЛ)'!$G$19+$D47*'Коэффициенты (БЛ)'!$G$20+$D46*'Коэффициенты (БЛ)'!$G$21+$D45*'Коэффициенты (БЛ)'!$G$22+$D44*'Коэффициенты (БЛ)'!$G$23+$D43*'Коэффициенты (БЛ)'!$G$24+$D42*'Коэффициенты (БЛ)'!$G$25+$D41*'Коэффициенты (БЛ)'!$G$26+$D40*'Коэффициенты (БЛ)'!$G$27+$D39*'Коэффициенты (БЛ)'!$G$28+$D38*'Коэффициенты (БЛ)'!$G$29+$D37*'Коэффициенты (БЛ)'!$G$30+$D36*'Коэффициенты (БЛ)'!$G$31+$D35*'Коэффициенты (БЛ)'!$G$32+$D34*'Коэффициенты (БЛ)'!$G$33+$D33*'Коэффициенты (БЛ)'!$G$34+$D32*'Коэффициенты (БЛ)'!$G$35+$D31*'Коэффициенты (БЛ)'!$G$36+$D30*'Коэффициенты (БЛ)'!$G$37</f>
        <v>38.345594386927139</v>
      </c>
      <c r="G61" s="43">
        <v>1</v>
      </c>
      <c r="H61" s="43">
        <f t="shared" si="2"/>
        <v>1465.1831042482825</v>
      </c>
      <c r="I61" s="43">
        <f t="shared" si="3"/>
        <v>38.345594386927139</v>
      </c>
    </row>
    <row r="62" spans="2:9" ht="18" customHeight="1" x14ac:dyDescent="0.35">
      <c r="B62" s="49"/>
      <c r="C62" s="36">
        <v>7</v>
      </c>
      <c r="D62" s="37">
        <f>'Обработка руды'!E36</f>
        <v>0</v>
      </c>
      <c r="E62" s="37">
        <f>$D61*'Коэффициенты (ПС)'!$G$8+Расчет!$D60*'Коэффициенты (ПС)'!$G$9+$D59*'Коэффициенты (ПС)'!$G$10+$D58*'Коэффициенты (ПС)'!$G$11+$D57*'Коэффициенты (ПС)'!$G$12+$D56*'Коэффициенты (ПС)'!$G$13+$D55*'Коэффициенты (ПС)'!$G$14+$D54*'Коэффициенты (ПС)'!$G$15+$D53*'Коэффициенты (ПС)'!$G$16+$D52*'Коэффициенты (ПС)'!$G$17+$D51*'Коэффициенты (ПС)'!$G$18+$D50*'Коэффициенты (ПС)'!$G$19+$D49*'Коэффициенты (ПС)'!$G$20+$D48*'Коэффициенты (ПС)'!$G$21+$D47*'Коэффициенты (ПС)'!$G$22+$D46*'Коэффициенты (ПС)'!$G$23+$D45*'Коэффициенты (ПС)'!$G$24+$D44*'Коэффициенты (ПС)'!$G$25+$D43*'Коэффициенты (ПС)'!$G$26+$D42*'Коэффициенты (ПС)'!$G$27+$D41*'Коэффициенты (ПС)'!$G$28+$D40*'Коэффициенты (ПС)'!$G$29+$D39*'Коэффициенты (ПС)'!$G$30+$D38*'Коэффициенты (ПС)'!$G$31+$D37*'Коэффициенты (ПС)'!$G$32+$D36*'Коэффициенты (ПС)'!$G$33+$D35*'Коэффициенты (ПС)'!$G$34+$D34*'Коэффициенты (ПС)'!$G$35+$D33*'Коэффициенты (ПС)'!$G$36+$D32*'Коэффициенты (ПС)'!$G$37+$D31*'Коэффициенты (ПС)'!$G$38+$D30*'Коэффициенты (ПС)'!$G$39</f>
        <v>1411.0829856732687</v>
      </c>
      <c r="F62" s="37">
        <f>$D61*'Коэффициенты (БЛ)'!$G$7+Расчет!$D60*'Коэффициенты (БЛ)'!$G$8+$D59*'Коэффициенты (БЛ)'!$G$9+$D58*'Коэффициенты (БЛ)'!$G$10+$D57*'Коэффициенты (БЛ)'!$G$11+$D56*'Коэффициенты (БЛ)'!$G$12+$D55*'Коэффициенты (БЛ)'!$G$13+$D54*'Коэффициенты (БЛ)'!$G$14+$D53*'Коэффициенты (БЛ)'!$G$15+$D52*'Коэффициенты (БЛ)'!$G$16+$D51*'Коэффициенты (БЛ)'!$G$17+$D50*'Коэффициенты (БЛ)'!$G$18+$D49*'Коэффициенты (БЛ)'!$G$19+$D48*'Коэффициенты (БЛ)'!$G$20+$D47*'Коэффициенты (БЛ)'!$G$21+$D46*'Коэффициенты (БЛ)'!$G$22+$D45*'Коэффициенты (БЛ)'!$G$23+$D44*'Коэффициенты (БЛ)'!$G$24+$D43*'Коэффициенты (БЛ)'!$G$25+$D42*'Коэффициенты (БЛ)'!$G$26+$D41*'Коэффициенты (БЛ)'!$G$27+$D40*'Коэффициенты (БЛ)'!$G$28+$D39*'Коэффициенты (БЛ)'!$G$29+$D38*'Коэффициенты (БЛ)'!$G$30+$D37*'Коэффициенты (БЛ)'!$G$31+$D36*'Коэффициенты (БЛ)'!$G$32+$D35*'Коэффициенты (БЛ)'!$G$33+$D34*'Коэффициенты (БЛ)'!$G$34+$D33*'Коэффициенты (БЛ)'!$G$35+$D32*'Коэффициенты (БЛ)'!$G$36+$D31*'Коэффициенты (БЛ)'!$G$37+$D30*'Коэффициенты (БЛ)'!$G$38</f>
        <v>36.929729573070595</v>
      </c>
      <c r="G62" s="43">
        <v>1</v>
      </c>
      <c r="H62" s="43">
        <f t="shared" si="2"/>
        <v>1411.0829856732687</v>
      </c>
      <c r="I62" s="43">
        <f t="shared" si="3"/>
        <v>36.929729573070595</v>
      </c>
    </row>
    <row r="63" spans="2:9" ht="18" customHeight="1" x14ac:dyDescent="0.35">
      <c r="B63" s="49"/>
      <c r="C63" s="36">
        <v>8</v>
      </c>
      <c r="D63" s="37">
        <f>'Обработка руды'!E37</f>
        <v>0</v>
      </c>
      <c r="E63" s="37">
        <f>$D62*'Коэффициенты (ПС)'!$G$8+Расчет!$D61*'Коэффициенты (ПС)'!$G$9+$D60*'Коэффициенты (ПС)'!$G$10+$D59*'Коэффициенты (ПС)'!$G$11+$D58*'Коэффициенты (ПС)'!$G$12+$D57*'Коэффициенты (ПС)'!$G$13+$D56*'Коэффициенты (ПС)'!$G$14+$D55*'Коэффициенты (ПС)'!$G$15+$D54*'Коэффициенты (ПС)'!$G$16+$D53*'Коэффициенты (ПС)'!$G$17+$D52*'Коэффициенты (ПС)'!$G$18+$D51*'Коэффициенты (ПС)'!$G$19+$D50*'Коэффициенты (ПС)'!$G$20+$D49*'Коэффициенты (ПС)'!$G$21+$D48*'Коэффициенты (ПС)'!$G$22+$D47*'Коэффициенты (ПС)'!$G$23+$D46*'Коэффициенты (ПС)'!$G$24+$D45*'Коэффициенты (ПС)'!$G$25+$D44*'Коэффициенты (ПС)'!$G$26+$D43*'Коэффициенты (ПС)'!$G$27+$D42*'Коэффициенты (ПС)'!$G$28+$D41*'Коэффициенты (ПС)'!$G$29+$D40*'Коэффициенты (ПС)'!$G$30+$D39*'Коэффициенты (ПС)'!$G$31+$D38*'Коэффициенты (ПС)'!$G$32+$D37*'Коэффициенты (ПС)'!$G$33+$D36*'Коэффициенты (ПС)'!$G$34+$D35*'Коэффициенты (ПС)'!$G$35+$D34*'Коэффициенты (ПС)'!$G$36+$D33*'Коэффициенты (ПС)'!$G$37+$D32*'Коэффициенты (ПС)'!$G$38+$D31*'Коэффициенты (ПС)'!$G$39+$D30*'Коэффициенты (ПС)'!$G$40</f>
        <v>1316.4671468885485</v>
      </c>
      <c r="F63" s="37">
        <f>$D62*'Коэффициенты (БЛ)'!$G$7+Расчет!$D61*'Коэффициенты (БЛ)'!$G$8+$D60*'Коэффициенты (БЛ)'!$G$9+$D59*'Коэффициенты (БЛ)'!$G$10+$D58*'Коэффициенты (БЛ)'!$G$11+$D57*'Коэффициенты (БЛ)'!$G$12+$D56*'Коэффициенты (БЛ)'!$G$13+$D55*'Коэффициенты (БЛ)'!$G$14+$D54*'Коэффициенты (БЛ)'!$G$15+$D53*'Коэффициенты (БЛ)'!$G$16+$D52*'Коэффициенты (БЛ)'!$G$17+$D51*'Коэффициенты (БЛ)'!$G$18+$D50*'Коэффициенты (БЛ)'!$G$19+$D49*'Коэффициенты (БЛ)'!$G$20+$D48*'Коэффициенты (БЛ)'!$G$21+$D47*'Коэффициенты (БЛ)'!$G$22+$D46*'Коэффициенты (БЛ)'!$G$23+$D45*'Коэффициенты (БЛ)'!$G$24+$D44*'Коэффициенты (БЛ)'!$G$25+$D43*'Коэффициенты (БЛ)'!$G$26+$D42*'Коэффициенты (БЛ)'!$G$27+$D41*'Коэффициенты (БЛ)'!$G$28+$D40*'Коэффициенты (БЛ)'!$G$29+$D39*'Коэффициенты (БЛ)'!$G$30+$D38*'Коэффициенты (БЛ)'!$G$31+$D37*'Коэффициенты (БЛ)'!$G$32+$D36*'Коэффициенты (БЛ)'!$G$33+$D35*'Коэффициенты (БЛ)'!$G$34+$D34*'Коэффициенты (БЛ)'!$G$35+$D33*'Коэффициенты (БЛ)'!$G$36+$D32*'Коэффициенты (БЛ)'!$G$37+$D31*'Коэффициенты (БЛ)'!$G$38+$D30*'Коэффициенты (БЛ)'!$G$39</f>
        <v>34.453519899277595</v>
      </c>
      <c r="G63" s="43">
        <v>1</v>
      </c>
      <c r="H63" s="43">
        <f t="shared" ref="H63:H94" si="4">E63*G63</f>
        <v>1316.4671468885485</v>
      </c>
      <c r="I63" s="43">
        <f t="shared" ref="I63:I94" si="5">F63*G63</f>
        <v>34.453519899277595</v>
      </c>
    </row>
    <row r="64" spans="2:9" ht="18" customHeight="1" x14ac:dyDescent="0.35">
      <c r="B64" s="49"/>
      <c r="C64" s="36">
        <v>9</v>
      </c>
      <c r="D64" s="37">
        <f>'Обработка руды'!E38</f>
        <v>0</v>
      </c>
      <c r="E64" s="37">
        <f>$D63*'Коэффициенты (ПС)'!$G$8+Расчет!$D62*'Коэффициенты (ПС)'!$G$9+$D61*'Коэффициенты (ПС)'!$G$10+$D60*'Коэффициенты (ПС)'!$G$11+$D59*'Коэффициенты (ПС)'!$G$12+$D58*'Коэффициенты (ПС)'!$G$13+$D57*'Коэффициенты (ПС)'!$G$14+$D56*'Коэффициенты (ПС)'!$G$15+$D55*'Коэффициенты (ПС)'!$G$16+$D54*'Коэффициенты (ПС)'!$G$17+$D53*'Коэффициенты (ПС)'!$G$18+$D52*'Коэффициенты (ПС)'!$G$19+$D51*'Коэффициенты (ПС)'!$G$20+$D50*'Коэффициенты (ПС)'!$G$21+$D49*'Коэффициенты (ПС)'!$G$22+$D48*'Коэффициенты (ПС)'!$G$23+$D47*'Коэффициенты (ПС)'!$G$24+$D46*'Коэффициенты (ПС)'!$G$25+$D45*'Коэффициенты (ПС)'!$G$26+$D44*'Коэффициенты (ПС)'!$G$27+$D43*'Коэффициенты (ПС)'!$G$28+$D42*'Коэффициенты (ПС)'!$G$29+$D41*'Коэффициенты (ПС)'!$G$30+$D40*'Коэффициенты (ПС)'!$G$31+$D39*'Коэффициенты (ПС)'!$G$32+$D38*'Коэффициенты (ПС)'!$G$33+$D37*'Коэффициенты (ПС)'!$G$34+$D36*'Коэффициенты (ПС)'!$G$35+$D35*'Коэффициенты (ПС)'!$G$36+$D34*'Коэффициенты (ПС)'!$G$37+$D33*'Коэффициенты (ПС)'!$G$38+$D32*'Коэффициенты (ПС)'!$G$39+$D31*'Коэффициенты (ПС)'!$G$40+$D30*'Коэффициенты (ПС)'!$G$41</f>
        <v>1262.1660438648471</v>
      </c>
      <c r="F64" s="37">
        <f>$D63*'Коэффициенты (БЛ)'!$G$7+Расчет!$D62*'Коэффициенты (БЛ)'!$G$8+$D61*'Коэффициенты (БЛ)'!$G$9+$D60*'Коэффициенты (БЛ)'!$G$10+$D59*'Коэффициенты (БЛ)'!$G$11+$D58*'Коэффициенты (БЛ)'!$G$12+$D57*'Коэффициенты (БЛ)'!$G$13+$D56*'Коэффициенты (БЛ)'!$G$14+$D55*'Коэффициенты (БЛ)'!$G$15+$D54*'Коэффициенты (БЛ)'!$G$16+$D53*'Коэффициенты (БЛ)'!$G$17+$D52*'Коэффициенты (БЛ)'!$G$18+$D51*'Коэффициенты (БЛ)'!$G$19+$D50*'Коэффициенты (БЛ)'!$G$20+$D49*'Коэффициенты (БЛ)'!$G$21+$D48*'Коэффициенты (БЛ)'!$G$22+$D47*'Коэффициенты (БЛ)'!$G$23+$D46*'Коэффициенты (БЛ)'!$G$24+$D45*'Коэффициенты (БЛ)'!$G$25+$D44*'Коэффициенты (БЛ)'!$G$26+$D43*'Коэффициенты (БЛ)'!$G$27+$D42*'Коэффициенты (БЛ)'!$G$28+$D41*'Коэффициенты (БЛ)'!$G$29+$D40*'Коэффициенты (БЛ)'!$G$30+$D39*'Коэффициенты (БЛ)'!$G$31+$D38*'Коэффициенты (БЛ)'!$G$32+$D37*'Коэффициенты (БЛ)'!$G$33+$D36*'Коэффициенты (БЛ)'!$G$34+$D35*'Коэффициенты (БЛ)'!$G$35+$D34*'Коэффициенты (БЛ)'!$G$36+$D33*'Коэффициенты (БЛ)'!$G$37+$D32*'Коэффициенты (БЛ)'!$G$38+$D31*'Коэффициенты (БЛ)'!$G$39+$D30*'Коэффициенты (БЛ)'!$G$40</f>
        <v>33.032395081995453</v>
      </c>
      <c r="G64" s="43">
        <v>1</v>
      </c>
      <c r="H64" s="43">
        <f t="shared" si="4"/>
        <v>1262.1660438648471</v>
      </c>
      <c r="I64" s="43">
        <f t="shared" si="5"/>
        <v>33.032395081995453</v>
      </c>
    </row>
    <row r="65" spans="2:9" ht="18" customHeight="1" x14ac:dyDescent="0.35">
      <c r="B65" s="49"/>
      <c r="C65" s="36">
        <v>10</v>
      </c>
      <c r="D65" s="37">
        <f>'Обработка руды'!E39</f>
        <v>0</v>
      </c>
      <c r="E65" s="37">
        <f>$D64*'Коэффициенты (ПС)'!$G$8+Расчет!$D63*'Коэффициенты (ПС)'!$G$9+$D62*'Коэффициенты (ПС)'!$G$10+$D61*'Коэффициенты (ПС)'!$G$11+$D60*'Коэффициенты (ПС)'!$G$12+$D59*'Коэффициенты (ПС)'!$G$13+$D58*'Коэффициенты (ПС)'!$G$14+$D57*'Коэффициенты (ПС)'!$G$15+$D56*'Коэффициенты (ПС)'!$G$16+$D55*'Коэффициенты (ПС)'!$G$17+$D54*'Коэффициенты (ПС)'!$G$18+$D53*'Коэффициенты (ПС)'!$G$19+$D52*'Коэффициенты (ПС)'!$G$20+$D51*'Коэффициенты (ПС)'!$G$21+$D50*'Коэффициенты (ПС)'!$G$22+$D49*'Коэффициенты (ПС)'!$G$23+$D48*'Коэффициенты (ПС)'!$G$24+$D47*'Коэффициенты (ПС)'!$G$25+$D46*'Коэффициенты (ПС)'!$G$26+$D45*'Коэффициенты (ПС)'!$G$27+$D44*'Коэффициенты (ПС)'!$G$28+$D43*'Коэффициенты (ПС)'!$G$29+$D42*'Коэффициенты (ПС)'!$G$30+$D41*'Коэффициенты (ПС)'!$G$31+$D40*'Коэффициенты (ПС)'!$G$32+$D39*'Коэффициенты (ПС)'!$G$33+$D38*'Коэффициенты (ПС)'!$G$34+$D37*'Коэффициенты (ПС)'!$G$35+$D36*'Коэффициенты (ПС)'!$G$36+$D35*'Коэффициенты (ПС)'!$G$37+$D34*'Коэффициенты (ПС)'!$G$38+$D33*'Коэффициенты (ПС)'!$G$39+$D32*'Коэффициенты (ПС)'!$G$40+$D31*'Коэффициенты (ПС)'!$G$41+$D30*'Коэффициенты (ПС)'!$G$42</f>
        <v>1219.9607060811525</v>
      </c>
      <c r="F65" s="37">
        <f>$D64*'Коэффициенты (БЛ)'!$G$7+Расчет!$D63*'Коэффициенты (БЛ)'!$G$8+$D62*'Коэффициенты (БЛ)'!$G$9+$D61*'Коэффициенты (БЛ)'!$G$10+$D60*'Коэффициенты (БЛ)'!$G$11+$D59*'Коэффициенты (БЛ)'!$G$12+$D58*'Коэффициенты (БЛ)'!$G$13+$D57*'Коэффициенты (БЛ)'!$G$14+$D56*'Коэффициенты (БЛ)'!$G$15+$D55*'Коэффициенты (БЛ)'!$G$16+$D54*'Коэффициенты (БЛ)'!$G$17+$D53*'Коэффициенты (БЛ)'!$G$18+$D52*'Коэффициенты (БЛ)'!$G$19+$D51*'Коэффициенты (БЛ)'!$G$20+$D50*'Коэффициенты (БЛ)'!$G$21+$D49*'Коэффициенты (БЛ)'!$G$22+$D48*'Коэффициенты (БЛ)'!$G$23+$D47*'Коэффициенты (БЛ)'!$G$24+$D46*'Коэффициенты (БЛ)'!$G$25+$D45*'Коэффициенты (БЛ)'!$G$26+$D44*'Коэффициенты (БЛ)'!$G$27+$D43*'Коэффициенты (БЛ)'!$G$28+$D42*'Коэффициенты (БЛ)'!$G$29+$D41*'Коэффициенты (БЛ)'!$G$30+$D40*'Коэффициенты (БЛ)'!$G$31+$D39*'Коэффициенты (БЛ)'!$G$32+$D38*'Коэффициенты (БЛ)'!$G$33+$D37*'Коэффициенты (БЛ)'!$G$34+$D36*'Коэффициенты (БЛ)'!$G$35+$D35*'Коэффициенты (БЛ)'!$G$36+$D34*'Коэффициенты (БЛ)'!$G$37+$D33*'Коэффициенты (БЛ)'!$G$38+$D32*'Коэффициенты (БЛ)'!$G$39+$D31*'Коэффициенты (БЛ)'!$G$40+$D30*'Коэффициенты (БЛ)'!$G$41</f>
        <v>31.927830909146145</v>
      </c>
      <c r="G65" s="43">
        <v>1</v>
      </c>
      <c r="H65" s="43">
        <f t="shared" si="4"/>
        <v>1219.9607060811525</v>
      </c>
      <c r="I65" s="43">
        <f t="shared" si="5"/>
        <v>31.927830909146145</v>
      </c>
    </row>
    <row r="66" spans="2:9" ht="18" customHeight="1" x14ac:dyDescent="0.35">
      <c r="B66" s="49"/>
      <c r="C66" s="36">
        <v>11</v>
      </c>
      <c r="D66" s="37">
        <f>'Обработка руды'!E40</f>
        <v>81940.786329120849</v>
      </c>
      <c r="E66" s="37">
        <f>$D65*'Коэффициенты (ПС)'!$G$8+Расчет!$D64*'Коэффициенты (ПС)'!$G$9+$D63*'Коэффициенты (ПС)'!$G$10+$D62*'Коэффициенты (ПС)'!$G$11+$D61*'Коэффициенты (ПС)'!$G$12+$D60*'Коэффициенты (ПС)'!$G$13+$D59*'Коэффициенты (ПС)'!$G$14+$D58*'Коэффициенты (ПС)'!$G$15+$D57*'Коэффициенты (ПС)'!$G$16+$D56*'Коэффициенты (ПС)'!$G$17+$D55*'Коэффициенты (ПС)'!$G$18+$D54*'Коэффициенты (ПС)'!$G$19+$D53*'Коэффициенты (ПС)'!$G$20+$D52*'Коэффициенты (ПС)'!$G$21+$D51*'Коэффициенты (ПС)'!$G$22+$D50*'Коэффициенты (ПС)'!$G$23+$D49*'Коэффициенты (ПС)'!$G$24+$D48*'Коэффициенты (ПС)'!$G$25+$D47*'Коэффициенты (ПС)'!$G$26+$D46*'Коэффициенты (ПС)'!$G$27+$D45*'Коэффициенты (ПС)'!$G$28+$D44*'Коэффициенты (ПС)'!$G$29+$D43*'Коэффициенты (ПС)'!$G$30+$D42*'Коэффициенты (ПС)'!$G$31+$D41*'Коэффициенты (ПС)'!$G$32+$D40*'Коэффициенты (ПС)'!$G$33+$D39*'Коэффициенты (ПС)'!$G$34+$D38*'Коэффициенты (ПС)'!$G$35+$D37*'Коэффициенты (ПС)'!$G$36+$D36*'Коэффициенты (ПС)'!$G$37+$D35*'Коэффициенты (ПС)'!$G$38+$D34*'Коэффициенты (ПС)'!$G$39+$D33*'Коэффициенты (ПС)'!$G$40+$D32*'Коэффициенты (ПС)'!$G$41+$D31*'Коэффициенты (ПС)'!$G$42+$D30*'Коэффициенты (ПС)'!$G$43</f>
        <v>1160.4947013623007</v>
      </c>
      <c r="F66" s="37">
        <f>$D65*'Коэффициенты (БЛ)'!$G$7+Расчет!$D64*'Коэффициенты (БЛ)'!$G$8+$D63*'Коэффициенты (БЛ)'!$G$9+$D62*'Коэффициенты (БЛ)'!$G$10+$D61*'Коэффициенты (БЛ)'!$G$11+$D60*'Коэффициенты (БЛ)'!$G$12+$D59*'Коэффициенты (БЛ)'!$G$13+$D58*'Коэффициенты (БЛ)'!$G$14+$D57*'Коэффициенты (БЛ)'!$G$15+$D56*'Коэффициенты (БЛ)'!$G$16+$D55*'Коэффициенты (БЛ)'!$G$17+$D54*'Коэффициенты (БЛ)'!$G$18+$D53*'Коэффициенты (БЛ)'!$G$19+$D52*'Коэффициенты (БЛ)'!$G$20+$D51*'Коэффициенты (БЛ)'!$G$21+$D50*'Коэффициенты (БЛ)'!$G$22+$D49*'Коэффициенты (БЛ)'!$G$23+$D48*'Коэффициенты (БЛ)'!$G$24+$D47*'Коэффициенты (БЛ)'!$G$25+$D46*'Коэффициенты (БЛ)'!$G$26+$D45*'Коэффициенты (БЛ)'!$G$27+$D44*'Коэффициенты (БЛ)'!$G$28+$D43*'Коэффициенты (БЛ)'!$G$29+$D42*'Коэффициенты (БЛ)'!$G$30+$D41*'Коэффициенты (БЛ)'!$G$31+$D40*'Коэффициенты (БЛ)'!$G$32+$D39*'Коэффициенты (БЛ)'!$G$33+$D38*'Коэффициенты (БЛ)'!$G$34+$D37*'Коэффициенты (БЛ)'!$G$35+$D36*'Коэффициенты (БЛ)'!$G$36+$D35*'Коэффициенты (БЛ)'!$G$37+$D34*'Коэффициенты (БЛ)'!$G$38+$D33*'Коэффициенты (БЛ)'!$G$39+$D32*'Коэффициенты (БЛ)'!$G$40+$D31*'Коэффициенты (БЛ)'!$G$41+$D30*'Коэффициенты (БЛ)'!$G$42</f>
        <v>30.37153443661073</v>
      </c>
      <c r="G66" s="43">
        <v>1</v>
      </c>
      <c r="H66" s="43">
        <f t="shared" si="4"/>
        <v>1160.4947013623007</v>
      </c>
      <c r="I66" s="43">
        <f t="shared" si="5"/>
        <v>30.37153443661073</v>
      </c>
    </row>
    <row r="67" spans="2:9" ht="18" customHeight="1" x14ac:dyDescent="0.35">
      <c r="B67" s="49"/>
      <c r="C67" s="36">
        <v>12</v>
      </c>
      <c r="D67" s="37">
        <f>'Обработка руды'!E41</f>
        <v>164932.09555989708</v>
      </c>
      <c r="E67" s="37">
        <f>$D66*'Коэффициенты (ПС)'!$G$8+Расчет!$D65*'Коэффициенты (ПС)'!$G$9+$D64*'Коэффициенты (ПС)'!$G$10+$D63*'Коэффициенты (ПС)'!$G$11+$D62*'Коэффициенты (ПС)'!$G$12+$D61*'Коэффициенты (ПС)'!$G$13+$D60*'Коэффициенты (ПС)'!$G$14+$D59*'Коэффициенты (ПС)'!$G$15+$D58*'Коэффициенты (ПС)'!$G$16+$D57*'Коэффициенты (ПС)'!$G$17+$D56*'Коэффициенты (ПС)'!$G$18+$D55*'Коэффициенты (ПС)'!$G$19+$D54*'Коэффициенты (ПС)'!$G$20+$D53*'Коэффициенты (ПС)'!$G$21+$D52*'Коэффициенты (ПС)'!$G$22+$D51*'Коэффициенты (ПС)'!$G$23+$D50*'Коэффициенты (ПС)'!$G$24+$D49*'Коэффициенты (ПС)'!$G$25+$D48*'Коэффициенты (ПС)'!$G$26+$D47*'Коэффициенты (ПС)'!$G$27+$D46*'Коэффициенты (ПС)'!$G$28+$D45*'Коэффициенты (ПС)'!$G$29+$D44*'Коэффициенты (ПС)'!$G$30+$D43*'Коэффициенты (ПС)'!$G$31+$D42*'Коэффициенты (ПС)'!$G$32+$D41*'Коэффициенты (ПС)'!$G$33+$D40*'Коэффициенты (ПС)'!$G$34+$D39*'Коэффициенты (ПС)'!$G$35+$D38*'Коэффициенты (ПС)'!$G$36+$D37*'Коэффициенты (ПС)'!$G$37+$D36*'Коэффициенты (ПС)'!$G$38+$D35*'Коэффициенты (ПС)'!$G$39+$D34*'Коэффициенты (ПС)'!$G$40+$D33*'Коэффициенты (ПС)'!$G$41+$D32*'Коэффициенты (ПС)'!$G$42+$D31*'Коэффициенты (ПС)'!$G$43+$D30*'Коэффициенты (ПС)'!$G$44</f>
        <v>2062.0718316568623</v>
      </c>
      <c r="F67" s="37">
        <f>$D66*'Коэффициенты (БЛ)'!$G$7+Расчет!$D65*'Коэффициенты (БЛ)'!$G$8+$D64*'Коэффициенты (БЛ)'!$G$9+$D63*'Коэффициенты (БЛ)'!$G$10+$D62*'Коэффициенты (БЛ)'!$G$11+$D61*'Коэффициенты (БЛ)'!$G$12+$D60*'Коэффициенты (БЛ)'!$G$13+$D59*'Коэффициенты (БЛ)'!$G$14+$D58*'Коэффициенты (БЛ)'!$G$15+$D57*'Коэффициенты (БЛ)'!$G$16+$D56*'Коэффициенты (БЛ)'!$G$17+$D55*'Коэффициенты (БЛ)'!$G$18+$D54*'Коэффициенты (БЛ)'!$G$19+$D53*'Коэффициенты (БЛ)'!$G$20+$D52*'Коэффициенты (БЛ)'!$G$21+$D51*'Коэффициенты (БЛ)'!$G$22+$D50*'Коэффициенты (БЛ)'!$G$23+$D49*'Коэффициенты (БЛ)'!$G$24+$D48*'Коэффициенты (БЛ)'!$G$25+$D47*'Коэффициенты (БЛ)'!$G$26+$D46*'Коэффициенты (БЛ)'!$G$27+$D45*'Коэффициенты (БЛ)'!$G$28+$D44*'Коэффициенты (БЛ)'!$G$29+$D43*'Коэффициенты (БЛ)'!$G$30+$D42*'Коэффициенты (БЛ)'!$G$31+$D41*'Коэффициенты (БЛ)'!$G$32+$D40*'Коэффициенты (БЛ)'!$G$33+$D39*'Коэффициенты (БЛ)'!$G$34+$D38*'Коэффициенты (БЛ)'!$G$35+$D37*'Коэффициенты (БЛ)'!$G$36+$D36*'Коэффициенты (БЛ)'!$G$37+$D35*'Коэффициенты (БЛ)'!$G$38+$D34*'Коэффициенты (БЛ)'!$G$39+$D33*'Коэффициенты (БЛ)'!$G$40+$D32*'Коэффициенты (БЛ)'!$G$41+$D31*'Коэффициенты (БЛ)'!$G$42+$D30*'Коэффициенты (БЛ)'!$G$43</f>
        <v>53.96688633943112</v>
      </c>
      <c r="G67" s="43">
        <v>1</v>
      </c>
      <c r="H67" s="43">
        <f t="shared" si="4"/>
        <v>2062.0718316568623</v>
      </c>
      <c r="I67" s="43">
        <f t="shared" si="5"/>
        <v>53.96688633943112</v>
      </c>
    </row>
    <row r="68" spans="2:9" ht="18" customHeight="1" x14ac:dyDescent="0.35">
      <c r="B68" s="49">
        <v>2029</v>
      </c>
      <c r="C68" s="36">
        <v>1</v>
      </c>
      <c r="D68" s="37">
        <f>'Обработка руды'!E42</f>
        <v>0</v>
      </c>
      <c r="E68" s="37">
        <f>$D67*'Коэффициенты (ПС)'!$G$8+Расчет!$D66*'Коэффициенты (ПС)'!$G$9+$D65*'Коэффициенты (ПС)'!$G$10+$D64*'Коэффициенты (ПС)'!$G$11+$D63*'Коэффициенты (ПС)'!$G$12+$D62*'Коэффициенты (ПС)'!$G$13+$D61*'Коэффициенты (ПС)'!$G$14+$D60*'Коэффициенты (ПС)'!$G$15+$D59*'Коэффициенты (ПС)'!$G$16+$D58*'Коэффициенты (ПС)'!$G$17+$D57*'Коэффициенты (ПС)'!$G$18+$D56*'Коэффициенты (ПС)'!$G$19+$D55*'Коэффициенты (ПС)'!$G$20+$D54*'Коэффициенты (ПС)'!$G$21+$D53*'Коэффициенты (ПС)'!$G$22+$D52*'Коэффициенты (ПС)'!$G$23+$D51*'Коэффициенты (ПС)'!$G$24+$D50*'Коэффициенты (ПС)'!$G$25+$D49*'Коэффициенты (ПС)'!$G$26+$D48*'Коэффициенты (ПС)'!$G$27+$D47*'Коэффициенты (ПС)'!$G$28+$D46*'Коэффициенты (ПС)'!$G$29+$D45*'Коэффициенты (ПС)'!$G$30+$D44*'Коэффициенты (ПС)'!$G$31+$D43*'Коэффициенты (ПС)'!$G$32+$D42*'Коэффициенты (ПС)'!$G$33+$D41*'Коэффициенты (ПС)'!$G$34+$D40*'Коэффициенты (ПС)'!$G$35+$D39*'Коэффициенты (ПС)'!$G$36+$D38*'Коэффициенты (ПС)'!$G$37+$D37*'Коэффициенты (ПС)'!$G$38+$D36*'Коэффициенты (ПС)'!$G$39+$D35*'Коэффициенты (ПС)'!$G$40+$D34*'Коэффициенты (ПС)'!$G$41+$D33*'Коэффициенты (ПС)'!$G$42+$D32*'Коэффициенты (ПС)'!$G$43+$D31*'Коэффициенты (ПС)'!$G$44+$D30*'Коэффициенты (ПС)'!$G$45</f>
        <v>3258.3323957949547</v>
      </c>
      <c r="F68" s="37">
        <f>$D67*'Коэффициенты (БЛ)'!$G$7+Расчет!$D66*'Коэффициенты (БЛ)'!$G$8+$D65*'Коэффициенты (БЛ)'!$G$9+$D64*'Коэффициенты (БЛ)'!$G$10+$D63*'Коэффициенты (БЛ)'!$G$11+$D62*'Коэффициенты (БЛ)'!$G$12+$D61*'Коэффициенты (БЛ)'!$G$13+$D60*'Коэффициенты (БЛ)'!$G$14+$D59*'Коэффициенты (БЛ)'!$G$15+$D58*'Коэффициенты (БЛ)'!$G$16+$D57*'Коэффициенты (БЛ)'!$G$17+$D56*'Коэффициенты (БЛ)'!$G$18+$D55*'Коэффициенты (БЛ)'!$G$19+$D54*'Коэффициенты (БЛ)'!$G$20+$D53*'Коэффициенты (БЛ)'!$G$21+$D52*'Коэффициенты (БЛ)'!$G$22+$D51*'Коэффициенты (БЛ)'!$G$23+$D50*'Коэффициенты (БЛ)'!$G$24+$D49*'Коэффициенты (БЛ)'!$G$25+$D48*'Коэффициенты (БЛ)'!$G$26+$D47*'Коэффициенты (БЛ)'!$G$27+$D46*'Коэффициенты (БЛ)'!$G$28+$D45*'Коэффициенты (БЛ)'!$G$29+$D44*'Коэффициенты (БЛ)'!$G$30+$D43*'Коэффициенты (БЛ)'!$G$31+$D42*'Коэффициенты (БЛ)'!$G$32+$D41*'Коэффициенты (БЛ)'!$G$33+$D40*'Коэффициенты (БЛ)'!$G$34+$D39*'Коэффициенты (БЛ)'!$G$35+$D38*'Коэффициенты (БЛ)'!$G$36+$D37*'Коэффициенты (БЛ)'!$G$37+$D36*'Коэффициенты (БЛ)'!$G$38+$D35*'Коэффициенты (БЛ)'!$G$39+$D34*'Коэффициенты (БЛ)'!$G$40+$D33*'Коэффициенты (БЛ)'!$G$41+$D32*'Коэффициенты (БЛ)'!$G$42+$D31*'Коэффициенты (БЛ)'!$G$43+$D30*'Коэффициенты (БЛ)'!$G$44</f>
        <v>85.274456185488248</v>
      </c>
      <c r="G68" s="43">
        <v>1</v>
      </c>
      <c r="H68" s="43">
        <f t="shared" si="4"/>
        <v>3258.3323957949547</v>
      </c>
      <c r="I68" s="43">
        <f t="shared" si="5"/>
        <v>85.274456185488248</v>
      </c>
    </row>
    <row r="69" spans="2:9" ht="18" customHeight="1" x14ac:dyDescent="0.35">
      <c r="B69" s="49"/>
      <c r="C69" s="36">
        <v>2</v>
      </c>
      <c r="D69" s="37">
        <f>'Обработка руды'!E43</f>
        <v>73126.885543680459</v>
      </c>
      <c r="E69" s="37">
        <f>$D68*'Коэффициенты (ПС)'!$G$8+Расчет!$D67*'Коэффициенты (ПС)'!$G$9+$D66*'Коэффициенты (ПС)'!$G$10+$D65*'Коэффициенты (ПС)'!$G$11+$D64*'Коэффициенты (ПС)'!$G$12+$D63*'Коэффициенты (ПС)'!$G$13+$D62*'Коэффициенты (ПС)'!$G$14+$D61*'Коэффициенты (ПС)'!$G$15+$D60*'Коэффициенты (ПС)'!$G$16+$D59*'Коэффициенты (ПС)'!$G$17+$D58*'Коэффициенты (ПС)'!$G$18+$D57*'Коэффициенты (ПС)'!$G$19+$D56*'Коэффициенты (ПС)'!$G$20+$D55*'Коэффициенты (ПС)'!$G$21+$D54*'Коэффициенты (ПС)'!$G$22+$D53*'Коэффициенты (ПС)'!$G$23+$D52*'Коэффициенты (ПС)'!$G$24+$D51*'Коэффициенты (ПС)'!$G$25+$D50*'Коэффициенты (ПС)'!$G$26+$D49*'Коэффициенты (ПС)'!$G$27+$D48*'Коэффициенты (ПС)'!$G$28+$D47*'Коэффициенты (ПС)'!$G$29+$D46*'Коэффициенты (ПС)'!$G$30+$D45*'Коэффициенты (ПС)'!$G$31+$D44*'Коэффициенты (ПС)'!$G$32+$D43*'Коэффициенты (ПС)'!$G$33+$D42*'Коэффициенты (ПС)'!$G$34+$D41*'Коэффициенты (ПС)'!$G$35+$D40*'Коэффициенты (ПС)'!$G$36+$D39*'Коэффициенты (ПС)'!$G$37+$D38*'Коэффициенты (ПС)'!$G$38+$D37*'Коэффициенты (ПС)'!$G$39+$D36*'Коэффициенты (ПС)'!$G$40+$D35*'Коэффициенты (ПС)'!$G$41+$D34*'Коэффициенты (ПС)'!$G$42+$D33*'Коэффициенты (ПС)'!$G$43+$D32*'Коэффициенты (ПС)'!$G$44+$D31*'Коэффициенты (ПС)'!$G$45+$D30*'Коэффициенты (ПС)'!$G$46</f>
        <v>2030.3154308147373</v>
      </c>
      <c r="F69" s="37">
        <f>$D68*'Коэффициенты (БЛ)'!$G$7+Расчет!$D67*'Коэффициенты (БЛ)'!$G$8+$D66*'Коэффициенты (БЛ)'!$G$9+$D65*'Коэффициенты (БЛ)'!$G$10+$D64*'Коэффициенты (БЛ)'!$G$11+$D63*'Коэффициенты (БЛ)'!$G$12+$D62*'Коэффициенты (БЛ)'!$G$13+$D61*'Коэффициенты (БЛ)'!$G$14+$D60*'Коэффициенты (БЛ)'!$G$15+$D59*'Коэффициенты (БЛ)'!$G$16+$D58*'Коэффициенты (БЛ)'!$G$17+$D57*'Коэффициенты (БЛ)'!$G$18+$D56*'Коэффициенты (БЛ)'!$G$19+$D55*'Коэффициенты (БЛ)'!$G$20+$D54*'Коэффициенты (БЛ)'!$G$21+$D53*'Коэффициенты (БЛ)'!$G$22+$D52*'Коэффициенты (БЛ)'!$G$23+$D51*'Коэффициенты (БЛ)'!$G$24+$D50*'Коэффициенты (БЛ)'!$G$25+$D49*'Коэффициенты (БЛ)'!$G$26+$D48*'Коэффициенты (БЛ)'!$G$27+$D47*'Коэффициенты (БЛ)'!$G$28+$D46*'Коэффициенты (БЛ)'!$G$29+$D45*'Коэффициенты (БЛ)'!$G$30+$D44*'Коэффициенты (БЛ)'!$G$31+$D43*'Коэффициенты (БЛ)'!$G$32+$D42*'Коэффициенты (БЛ)'!$G$33+$D41*'Коэффициенты (БЛ)'!$G$34+$D40*'Коэффициенты (БЛ)'!$G$35+$D39*'Коэффициенты (БЛ)'!$G$36+$D38*'Коэффициенты (БЛ)'!$G$37+$D37*'Коэффициенты (БЛ)'!$G$38+$D36*'Коэффициенты (БЛ)'!$G$39+$D35*'Коэффициенты (БЛ)'!$G$40+$D34*'Коэффициенты (БЛ)'!$G$41+$D33*'Коэффициенты (БЛ)'!$G$42+$D32*'Коэффициенты (БЛ)'!$G$43+$D31*'Коэффициенты (БЛ)'!$G$44+$D30*'Коэффициенты (БЛ)'!$G$45</f>
        <v>53.135783344624528</v>
      </c>
      <c r="G69" s="43">
        <v>1</v>
      </c>
      <c r="H69" s="43">
        <f t="shared" si="4"/>
        <v>2030.3154308147373</v>
      </c>
      <c r="I69" s="43">
        <f t="shared" si="5"/>
        <v>53.135783344624528</v>
      </c>
    </row>
    <row r="70" spans="2:9" ht="18" customHeight="1" x14ac:dyDescent="0.35">
      <c r="B70" s="49"/>
      <c r="C70" s="36">
        <v>3</v>
      </c>
      <c r="D70" s="37">
        <f>'Обработка руды'!E44</f>
        <v>0</v>
      </c>
      <c r="E70" s="37">
        <f>$D69*'Коэффициенты (ПС)'!$G$8+Расчет!$D68*'Коэффициенты (ПС)'!$G$9+$D67*'Коэффициенты (ПС)'!$G$10+$D66*'Коэффициенты (ПС)'!$G$11+$D65*'Коэффициенты (ПС)'!$G$12+$D64*'Коэффициенты (ПС)'!$G$13+$D63*'Коэффициенты (ПС)'!$G$14+$D62*'Коэффициенты (ПС)'!$G$15+$D61*'Коэффициенты (ПС)'!$G$16+$D60*'Коэффициенты (ПС)'!$G$17+$D59*'Коэффициенты (ПС)'!$G$18+$D58*'Коэффициенты (ПС)'!$G$19+$D57*'Коэффициенты (ПС)'!$G$20+$D56*'Коэффициенты (ПС)'!$G$21+$D55*'Коэффициенты (ПС)'!$G$22+$D54*'Коэффициенты (ПС)'!$G$23+$D53*'Коэффициенты (ПС)'!$G$24+$D52*'Коэффициенты (ПС)'!$G$25+$D51*'Коэффициенты (ПС)'!$G$26+$D50*'Коэффициенты (ПС)'!$G$27+$D49*'Коэффициенты (ПС)'!$G$28+$D48*'Коэффициенты (ПС)'!$G$29+$D47*'Коэффициенты (ПС)'!$G$30+$D46*'Коэффициенты (ПС)'!$G$31+$D45*'Коэффициенты (ПС)'!$G$32+$D44*'Коэффициенты (ПС)'!$G$33+$D43*'Коэффициенты (ПС)'!$G$34+$D42*'Коэффициенты (ПС)'!$G$35+$D41*'Коэффициенты (ПС)'!$G$36+$D40*'Коэффициенты (ПС)'!$G$37+$D39*'Коэффициенты (ПС)'!$G$38+$D38*'Коэффициенты (ПС)'!$G$39+$D37*'Коэффициенты (ПС)'!$G$40+$D36*'Коэффициенты (ПС)'!$G$41+$D35*'Коэффициенты (ПС)'!$G$42+$D34*'Коэффициенты (ПС)'!$G$43+$D33*'Коэффициенты (ПС)'!$G$44+$D32*'Коэффициенты (ПС)'!$G$45+$D31*'Коэффициенты (ПС)'!$G$46+$D30*'Коэффициенты (ПС)'!$G$47</f>
        <v>2698.2855132934283</v>
      </c>
      <c r="F70" s="37">
        <f>$D69*'Коэффициенты (БЛ)'!$G$7+Расчет!$D68*'Коэффициенты (БЛ)'!$G$8+$D67*'Коэффициенты (БЛ)'!$G$9+$D66*'Коэффициенты (БЛ)'!$G$10+$D65*'Коэффициенты (БЛ)'!$G$11+$D64*'Коэффициенты (БЛ)'!$G$12+$D63*'Коэффициенты (БЛ)'!$G$13+$D62*'Коэффициенты (БЛ)'!$G$14+$D61*'Коэффициенты (БЛ)'!$G$15+$D60*'Коэффициенты (БЛ)'!$G$16+$D59*'Коэффициенты (БЛ)'!$G$17+$D58*'Коэффициенты (БЛ)'!$G$18+$D57*'Коэффициенты (БЛ)'!$G$19+$D56*'Коэффициенты (БЛ)'!$G$20+$D55*'Коэффициенты (БЛ)'!$G$21+$D54*'Коэффициенты (БЛ)'!$G$22+$D53*'Коэффициенты (БЛ)'!$G$23+$D52*'Коэффициенты (БЛ)'!$G$24+$D51*'Коэффициенты (БЛ)'!$G$25+$D50*'Коэффициенты (БЛ)'!$G$26+$D49*'Коэффициенты (БЛ)'!$G$27+$D48*'Коэффициенты (БЛ)'!$G$28+$D47*'Коэффициенты (БЛ)'!$G$29+$D46*'Коэффициенты (БЛ)'!$G$30+$D45*'Коэффициенты (БЛ)'!$G$31+$D44*'Коэффициенты (БЛ)'!$G$32+$D43*'Коэффициенты (БЛ)'!$G$33+$D42*'Коэффициенты (БЛ)'!$G$34+$D41*'Коэффициенты (БЛ)'!$G$35+$D40*'Коэффициенты (БЛ)'!$G$36+$D39*'Коэффициенты (БЛ)'!$G$37+$D38*'Коэффициенты (БЛ)'!$G$38+$D37*'Коэффициенты (БЛ)'!$G$39+$D36*'Коэффициенты (БЛ)'!$G$40+$D35*'Коэффициенты (БЛ)'!$G$41+$D34*'Коэффициенты (БЛ)'!$G$42+$D33*'Коэффициенты (БЛ)'!$G$43+$D32*'Коэффициенты (БЛ)'!$G$44+$D31*'Коэффициенты (БЛ)'!$G$45+$D30*'Коэффициенты (БЛ)'!$G$46</f>
        <v>70.617359381819739</v>
      </c>
      <c r="G70" s="43">
        <v>1</v>
      </c>
      <c r="H70" s="43">
        <f t="shared" si="4"/>
        <v>2698.2855132934283</v>
      </c>
      <c r="I70" s="43">
        <f t="shared" si="5"/>
        <v>70.617359381819739</v>
      </c>
    </row>
    <row r="71" spans="2:9" ht="18" customHeight="1" x14ac:dyDescent="0.35">
      <c r="B71" s="49"/>
      <c r="C71" s="36">
        <v>4</v>
      </c>
      <c r="D71" s="37">
        <f>'Обработка руды'!E45</f>
        <v>0</v>
      </c>
      <c r="E71" s="37">
        <f>$D70*'Коэффициенты (ПС)'!$G$8+Расчет!$D69*'Коэффициенты (ПС)'!$G$9+$D68*'Коэффициенты (ПС)'!$G$10+$D67*'Коэффициенты (ПС)'!$G$11+$D66*'Коэффициенты (ПС)'!$G$12+$D65*'Коэффициенты (ПС)'!$G$13+$D64*'Коэффициенты (ПС)'!$G$14+$D63*'Коэффициенты (ПС)'!$G$15+$D62*'Коэффициенты (ПС)'!$G$16+$D61*'Коэффициенты (ПС)'!$G$17+$D60*'Коэффициенты (ПС)'!$G$18+$D59*'Коэффициенты (ПС)'!$G$19+$D58*'Коэффициенты (ПС)'!$G$20+$D57*'Коэффициенты (ПС)'!$G$21+$D56*'Коэффициенты (ПС)'!$G$22+$D55*'Коэффициенты (ПС)'!$G$23+$D54*'Коэффициенты (ПС)'!$G$24+$D53*'Коэффициенты (ПС)'!$G$25+$D52*'Коэффициенты (ПС)'!$G$26+$D51*'Коэффициенты (ПС)'!$G$27+$D50*'Коэффициенты (ПС)'!$G$28+$D49*'Коэффициенты (ПС)'!$G$29+$D48*'Коэффициенты (ПС)'!$G$30+$D47*'Коэффициенты (ПС)'!$G$31+$D46*'Коэффициенты (ПС)'!$G$32+$D45*'Коэффициенты (ПС)'!$G$33+$D44*'Коэффициенты (ПС)'!$G$34+$D43*'Коэффициенты (ПС)'!$G$35+$D42*'Коэффициенты (ПС)'!$G$36+$D41*'Коэффициенты (ПС)'!$G$37+$D40*'Коэффициенты (ПС)'!$G$38+$D39*'Коэффициенты (ПС)'!$G$39+$D38*'Коэффициенты (ПС)'!$G$40+$D37*'Коэффициенты (ПС)'!$G$41+$D36*'Коэффициенты (ПС)'!$G$42+$D35*'Коэффициенты (ПС)'!$G$43+$D34*'Коэффициенты (ПС)'!$G$44+$D33*'Коэффициенты (ПС)'!$G$45+$D32*'Коэффициенты (ПС)'!$G$46+$D31*'Коэффициенты (ПС)'!$G$47+$D30*'Коэффициенты (ПС)'!$G$48</f>
        <v>2003.5782806181937</v>
      </c>
      <c r="F71" s="37">
        <f>$D70*'Коэффициенты (БЛ)'!$G$7+Расчет!$D69*'Коэффициенты (БЛ)'!$G$8+$D68*'Коэффициенты (БЛ)'!$G$9+$D67*'Коэффициенты (БЛ)'!$G$10+$D66*'Коэффициенты (БЛ)'!$G$11+$D65*'Коэффициенты (БЛ)'!$G$12+$D64*'Коэффициенты (БЛ)'!$G$13+$D63*'Коэффициенты (БЛ)'!$G$14+$D62*'Коэффициенты (БЛ)'!$G$15+$D61*'Коэффициенты (БЛ)'!$G$16+$D60*'Коэффициенты (БЛ)'!$G$17+$D59*'Коэффициенты (БЛ)'!$G$18+$D58*'Коэффициенты (БЛ)'!$G$19+$D57*'Коэффициенты (БЛ)'!$G$20+$D56*'Коэффициенты (БЛ)'!$G$21+$D55*'Коэффициенты (БЛ)'!$G$22+$D54*'Коэффициенты (БЛ)'!$G$23+$D53*'Коэффициенты (БЛ)'!$G$24+$D52*'Коэффициенты (БЛ)'!$G$25+$D51*'Коэффициенты (БЛ)'!$G$26+$D50*'Коэффициенты (БЛ)'!$G$27+$D49*'Коэффициенты (БЛ)'!$G$28+$D48*'Коэффициенты (БЛ)'!$G$29+$D47*'Коэффициенты (БЛ)'!$G$30+$D46*'Коэффициенты (БЛ)'!$G$31+$D45*'Коэффициенты (БЛ)'!$G$32+$D44*'Коэффициенты (БЛ)'!$G$33+$D43*'Коэффициенты (БЛ)'!$G$34+$D42*'Коэффициенты (БЛ)'!$G$35+$D41*'Коэффициенты (БЛ)'!$G$36+$D40*'Коэффициенты (БЛ)'!$G$37+$D39*'Коэффициенты (БЛ)'!$G$38+$D38*'Коэффициенты (БЛ)'!$G$39+$D37*'Коэффициенты (БЛ)'!$G$40+$D36*'Коэффициенты (БЛ)'!$G$41+$D35*'Коэффициенты (БЛ)'!$G$42+$D34*'Коэффициенты (БЛ)'!$G$43+$D33*'Коэффициенты (БЛ)'!$G$44+$D32*'Коэффициенты (БЛ)'!$G$45+$D31*'Коэффициенты (БЛ)'!$G$46+$D30*'Коэффициенты (БЛ)'!$G$47</f>
        <v>52.436040142886519</v>
      </c>
      <c r="G71" s="43">
        <v>1</v>
      </c>
      <c r="H71" s="43">
        <f t="shared" si="4"/>
        <v>2003.5782806181937</v>
      </c>
      <c r="I71" s="43">
        <f t="shared" si="5"/>
        <v>52.436040142886519</v>
      </c>
    </row>
    <row r="72" spans="2:9" ht="18" customHeight="1" x14ac:dyDescent="0.35">
      <c r="B72" s="49"/>
      <c r="C72" s="36">
        <v>5</v>
      </c>
      <c r="D72" s="37">
        <f>'Обработка руды'!E46</f>
        <v>0</v>
      </c>
      <c r="E72" s="37">
        <f>$D71*'Коэффициенты (ПС)'!$G$8+Расчет!$D70*'Коэффициенты (ПС)'!$G$9+$D69*'Коэффициенты (ПС)'!$G$10+$D68*'Коэффициенты (ПС)'!$G$11+$D67*'Коэффициенты (ПС)'!$G$12+$D66*'Коэффициенты (ПС)'!$G$13+$D65*'Коэффициенты (ПС)'!$G$14+$D64*'Коэффициенты (ПС)'!$G$15+$D63*'Коэффициенты (ПС)'!$G$16+$D62*'Коэффициенты (ПС)'!$G$17+$D61*'Коэффициенты (ПС)'!$G$18+$D60*'Коэффициенты (ПС)'!$G$19+$D59*'Коэффициенты (ПС)'!$G$20+$D58*'Коэффициенты (ПС)'!$G$21+$D57*'Коэффициенты (ПС)'!$G$22+$D56*'Коэффициенты (ПС)'!$G$23+$D55*'Коэффициенты (ПС)'!$G$24+$D54*'Коэффициенты (ПС)'!$G$25+$D53*'Коэффициенты (ПС)'!$G$26+$D52*'Коэффициенты (ПС)'!$G$27+$D51*'Коэффициенты (ПС)'!$G$28+$D50*'Коэффициенты (ПС)'!$G$29+$D49*'Коэффициенты (ПС)'!$G$30+$D48*'Коэффициенты (ПС)'!$G$31+$D47*'Коэффициенты (ПС)'!$G$32+$D46*'Коэффициенты (ПС)'!$G$33+$D45*'Коэффициенты (ПС)'!$G$34+$D44*'Коэффициенты (ПС)'!$G$35+$D43*'Коэффициенты (ПС)'!$G$36+$D42*'Коэффициенты (ПС)'!$G$37+$D41*'Коэффициенты (ПС)'!$G$38+$D40*'Коэффициенты (ПС)'!$G$39+$D39*'Коэффициенты (ПС)'!$G$40+$D38*'Коэффициенты (ПС)'!$G$41+$D37*'Коэффициенты (ПС)'!$G$42+$D36*'Коэффициенты (ПС)'!$G$43+$D35*'Коэффициенты (ПС)'!$G$44+$D34*'Коэффициенты (ПС)'!$G$45+$D33*'Коэффициенты (ПС)'!$G$46+$D32*'Коэффициенты (ПС)'!$G$47+$D31*'Коэффициенты (ПС)'!$G$48+$D30*'Коэффициенты (ПС)'!$G$49</f>
        <v>1894.2407022297043</v>
      </c>
      <c r="F72" s="37">
        <f>$D71*'Коэффициенты (БЛ)'!$G$7+Расчет!$D70*'Коэффициенты (БЛ)'!$G$8+$D69*'Коэффициенты (БЛ)'!$G$9+$D68*'Коэффициенты (БЛ)'!$G$10+$D67*'Коэффициенты (БЛ)'!$G$11+$D66*'Коэффициенты (БЛ)'!$G$12+$D65*'Коэффициенты (БЛ)'!$G$13+$D64*'Коэффициенты (БЛ)'!$G$14+$D63*'Коэффициенты (БЛ)'!$G$15+$D62*'Коэффициенты (БЛ)'!$G$16+$D61*'Коэффициенты (БЛ)'!$G$17+$D60*'Коэффициенты (БЛ)'!$G$18+$D59*'Коэффициенты (БЛ)'!$G$19+$D58*'Коэффициенты (БЛ)'!$G$20+$D57*'Коэффициенты (БЛ)'!$G$21+$D56*'Коэффициенты (БЛ)'!$G$22+$D55*'Коэффициенты (БЛ)'!$G$23+$D54*'Коэффициенты (БЛ)'!$G$24+$D53*'Коэффициенты (БЛ)'!$G$25+$D52*'Коэффициенты (БЛ)'!$G$26+$D51*'Коэффициенты (БЛ)'!$G$27+$D50*'Коэффициенты (БЛ)'!$G$28+$D49*'Коэффициенты (БЛ)'!$G$29+$D48*'Коэффициенты (БЛ)'!$G$30+$D47*'Коэффициенты (БЛ)'!$G$31+$D46*'Коэффициенты (БЛ)'!$G$32+$D45*'Коэффициенты (БЛ)'!$G$33+$D44*'Коэффициенты (БЛ)'!$G$34+$D43*'Коэффициенты (БЛ)'!$G$35+$D42*'Коэффициенты (БЛ)'!$G$36+$D41*'Коэффициенты (БЛ)'!$G$37+$D40*'Коэффициенты (БЛ)'!$G$38+$D39*'Коэффициенты (БЛ)'!$G$39+$D38*'Коэффициенты (БЛ)'!$G$40+$D37*'Коэффициенты (БЛ)'!$G$41+$D36*'Коэффициенты (БЛ)'!$G$42+$D35*'Коэффициенты (БЛ)'!$G$43+$D34*'Коэффициенты (БЛ)'!$G$44+$D33*'Коэффициенты (БЛ)'!$G$45+$D32*'Коэффициенты (БЛ)'!$G$46+$D31*'Коэффициенты (БЛ)'!$G$47+$D30*'Коэффициенты (БЛ)'!$G$48</f>
        <v>49.574544934555632</v>
      </c>
      <c r="G72" s="43">
        <v>1</v>
      </c>
      <c r="H72" s="43">
        <f t="shared" si="4"/>
        <v>1894.2407022297043</v>
      </c>
      <c r="I72" s="43">
        <f t="shared" si="5"/>
        <v>49.574544934555632</v>
      </c>
    </row>
    <row r="73" spans="2:9" ht="18" customHeight="1" x14ac:dyDescent="0.35">
      <c r="B73" s="49"/>
      <c r="C73" s="36">
        <v>6</v>
      </c>
      <c r="D73" s="37">
        <f>'Обработка руды'!E47</f>
        <v>0</v>
      </c>
      <c r="E73" s="37">
        <f>$D72*'Коэффициенты (ПС)'!$G$8+Расчет!$D71*'Коэффициенты (ПС)'!$G$9+$D70*'Коэффициенты (ПС)'!$G$10+$D69*'Коэффициенты (ПС)'!$G$11+$D68*'Коэффициенты (ПС)'!$G$12+$D67*'Коэффициенты (ПС)'!$G$13+$D66*'Коэффициенты (ПС)'!$G$14+$D65*'Коэффициенты (ПС)'!$G$15+$D64*'Коэффициенты (ПС)'!$G$16+$D63*'Коэффициенты (ПС)'!$G$17+$D62*'Коэффициенты (ПС)'!$G$18+$D61*'Коэффициенты (ПС)'!$G$19+$D60*'Коэффициенты (ПС)'!$G$20+$D59*'Коэффициенты (ПС)'!$G$21+$D58*'Коэффициенты (ПС)'!$G$22+$D57*'Коэффициенты (ПС)'!$G$23+$D56*'Коэффициенты (ПС)'!$G$24+$D55*'Коэффициенты (ПС)'!$G$25+$D54*'Коэффициенты (ПС)'!$G$26+$D53*'Коэффициенты (ПС)'!$G$27+$D52*'Коэффициенты (ПС)'!$G$28+$D51*'Коэффициенты (ПС)'!$G$29+$D50*'Коэффициенты (ПС)'!$G$30+$D49*'Коэффициенты (ПС)'!$G$31+$D48*'Коэффициенты (ПС)'!$G$32+$D47*'Коэффициенты (ПС)'!$G$33+$D46*'Коэффициенты (ПС)'!$G$34+$D45*'Коэффициенты (ПС)'!$G$35+$D44*'Коэффициенты (ПС)'!$G$36+$D43*'Коэффициенты (ПС)'!$G$37+$D42*'Коэффициенты (ПС)'!$G$38+$D41*'Коэффициенты (ПС)'!$G$39+$D40*'Коэффициенты (ПС)'!$G$40+$D39*'Коэффициенты (ПС)'!$G$41+$D38*'Коэффициенты (ПС)'!$G$42+$D37*'Коэффициенты (ПС)'!$G$43+$D36*'Коэффициенты (ПС)'!$G$44+$D35*'Коэффициенты (ПС)'!$G$45+$D34*'Коэффициенты (ПС)'!$G$46+$D33*'Коэффициенты (ПС)'!$G$47+$D32*'Коэффициенты (ПС)'!$G$48+$D31*'Коэффициенты (ПС)'!$G$49+$D30*'Коэффициенты (ПС)'!$G$50</f>
        <v>1744.5616362224009</v>
      </c>
      <c r="F73" s="37">
        <f>$D72*'Коэффициенты (БЛ)'!$G$7+Расчет!$D71*'Коэффициенты (БЛ)'!$G$8+$D70*'Коэффициенты (БЛ)'!$G$9+$D69*'Коэффициенты (БЛ)'!$G$10+$D68*'Коэффициенты (БЛ)'!$G$11+$D67*'Коэффициенты (БЛ)'!$G$12+$D66*'Коэффициенты (БЛ)'!$G$13+$D65*'Коэффициенты (БЛ)'!$G$14+$D64*'Коэффициенты (БЛ)'!$G$15+$D63*'Коэффициенты (БЛ)'!$G$16+$D62*'Коэффициенты (БЛ)'!$G$17+$D61*'Коэффициенты (БЛ)'!$G$18+$D60*'Коэффициенты (БЛ)'!$G$19+$D59*'Коэффициенты (БЛ)'!$G$20+$D58*'Коэффициенты (БЛ)'!$G$21+$D57*'Коэффициенты (БЛ)'!$G$22+$D56*'Коэффициенты (БЛ)'!$G$23+$D55*'Коэффициенты (БЛ)'!$G$24+$D54*'Коэффициенты (БЛ)'!$G$25+$D53*'Коэффициенты (БЛ)'!$G$26+$D52*'Коэффициенты (БЛ)'!$G$27+$D51*'Коэффициенты (БЛ)'!$G$28+$D50*'Коэффициенты (БЛ)'!$G$29+$D49*'Коэффициенты (БЛ)'!$G$30+$D48*'Коэффициенты (БЛ)'!$G$31+$D47*'Коэффициенты (БЛ)'!$G$32+$D46*'Коэффициенты (БЛ)'!$G$33+$D45*'Коэффициенты (БЛ)'!$G$34+$D44*'Коэффициенты (БЛ)'!$G$35+$D43*'Коэффициенты (БЛ)'!$G$36+$D42*'Коэффициенты (БЛ)'!$G$37+$D41*'Коэффициенты (БЛ)'!$G$38+$D40*'Коэффициенты (БЛ)'!$G$39+$D39*'Коэффициенты (БЛ)'!$G$40+$D38*'Коэффициенты (БЛ)'!$G$41+$D37*'Коэффициенты (БЛ)'!$G$42+$D36*'Коэффициенты (БЛ)'!$G$43+$D35*'Коэффициенты (БЛ)'!$G$44+$D34*'Коэффициенты (БЛ)'!$G$45+$D33*'Коэффициенты (БЛ)'!$G$46+$D32*'Коэффициенты (БЛ)'!$G$47+$D31*'Коэффициенты (БЛ)'!$G$48+$D30*'Коэффициенты (БЛ)'!$G$49</f>
        <v>45.657264741596606</v>
      </c>
      <c r="G73" s="43">
        <v>1</v>
      </c>
      <c r="H73" s="43">
        <f t="shared" si="4"/>
        <v>1744.5616362224009</v>
      </c>
      <c r="I73" s="43">
        <f t="shared" si="5"/>
        <v>45.657264741596606</v>
      </c>
    </row>
    <row r="74" spans="2:9" ht="18" customHeight="1" x14ac:dyDescent="0.35">
      <c r="B74" s="49"/>
      <c r="C74" s="36">
        <v>7</v>
      </c>
      <c r="D74" s="37">
        <f>'Обработка руды'!E48</f>
        <v>0</v>
      </c>
      <c r="E74" s="37">
        <f>$D73*'Коэффициенты (ПС)'!$G$8+Расчет!$D72*'Коэффициенты (ПС)'!$G$9+$D71*'Коэффициенты (ПС)'!$G$10+$D70*'Коэффициенты (ПС)'!$G$11+$D69*'Коэффициенты (ПС)'!$G$12+$D68*'Коэффициенты (ПС)'!$G$13+$D67*'Коэффициенты (ПС)'!$G$14+$D66*'Коэффициенты (ПС)'!$G$15+$D65*'Коэффициенты (ПС)'!$G$16+$D64*'Коэффициенты (ПС)'!$G$17+$D63*'Коэффициенты (ПС)'!$G$18+$D62*'Коэффициенты (ПС)'!$G$19+$D61*'Коэффициенты (ПС)'!$G$20+$D60*'Коэффициенты (ПС)'!$G$21+$D59*'Коэффициенты (ПС)'!$G$22+$D58*'Коэффициенты (ПС)'!$G$23+$D57*'Коэффициенты (ПС)'!$G$24+$D56*'Коэффициенты (ПС)'!$G$25+$D55*'Коэффициенты (ПС)'!$G$26+$D54*'Коэффициенты (ПС)'!$G$27+$D53*'Коэффициенты (ПС)'!$G$28+$D52*'Коэффициенты (ПС)'!$G$29+$D51*'Коэффициенты (ПС)'!$G$30+$D50*'Коэффициенты (ПС)'!$G$31+$D49*'Коэффициенты (ПС)'!$G$32+$D48*'Коэффициенты (ПС)'!$G$33+$D47*'Коэффициенты (ПС)'!$G$34+$D46*'Коэффициенты (ПС)'!$G$35+$D45*'Коэффициенты (ПС)'!$G$36+$D44*'Коэффициенты (ПС)'!$G$37+$D43*'Коэффициенты (ПС)'!$G$38+$D42*'Коэффициенты (ПС)'!$G$39+$D41*'Коэффициенты (ПС)'!$G$40+$D40*'Коэффициенты (ПС)'!$G$41+$D39*'Коэффициенты (ПС)'!$G$42+$D38*'Коэффициенты (ПС)'!$G$43+$D37*'Коэффициенты (ПС)'!$G$44+$D36*'Коэффициенты (ПС)'!$G$45+$D35*'Коэффициенты (ПС)'!$G$46+$D34*'Коэффициенты (ПС)'!$G$47+$D33*'Коэффициенты (ПС)'!$G$48+$D32*'Коэффициенты (ПС)'!$G$49+$D31*'Коэффициенты (ПС)'!$G$50+$D30*'Коэффициенты (ПС)'!$G$51</f>
        <v>1694.7346346400848</v>
      </c>
      <c r="F74" s="37">
        <f>$D73*'Коэффициенты (БЛ)'!$G$7+Расчет!$D72*'Коэффициенты (БЛ)'!$G$8+$D71*'Коэффициенты (БЛ)'!$G$9+$D70*'Коэффициенты (БЛ)'!$G$10+$D69*'Коэффициенты (БЛ)'!$G$11+$D68*'Коэффициенты (БЛ)'!$G$12+$D67*'Коэффициенты (БЛ)'!$G$13+$D66*'Коэффициенты (БЛ)'!$G$14+$D65*'Коэффициенты (БЛ)'!$G$15+$D64*'Коэффициенты (БЛ)'!$G$16+$D63*'Коэффициенты (БЛ)'!$G$17+$D62*'Коэффициенты (БЛ)'!$G$18+$D61*'Коэффициенты (БЛ)'!$G$19+$D60*'Коэффициенты (БЛ)'!$G$20+$D59*'Коэффициенты (БЛ)'!$G$21+$D58*'Коэффициенты (БЛ)'!$G$22+$D57*'Коэффициенты (БЛ)'!$G$23+$D56*'Коэффициенты (БЛ)'!$G$24+$D55*'Коэффициенты (БЛ)'!$G$25+$D54*'Коэффициенты (БЛ)'!$G$26+$D53*'Коэффициенты (БЛ)'!$G$27+$D52*'Коэффициенты (БЛ)'!$G$28+$D51*'Коэффициенты (БЛ)'!$G$29+$D50*'Коэффициенты (БЛ)'!$G$30+$D49*'Коэффициенты (БЛ)'!$G$31+$D48*'Коэффициенты (БЛ)'!$G$32+$D47*'Коэффициенты (БЛ)'!$G$33+$D46*'Коэффициенты (БЛ)'!$G$34+$D45*'Коэффициенты (БЛ)'!$G$35+$D44*'Коэффициенты (БЛ)'!$G$36+$D43*'Коэффициенты (БЛ)'!$G$37+$D42*'Коэффициенты (БЛ)'!$G$38+$D41*'Коэффициенты (БЛ)'!$G$39+$D40*'Коэффициенты (БЛ)'!$G$40+$D39*'Коэффициенты (БЛ)'!$G$41+$D38*'Коэффициенты (БЛ)'!$G$42+$D37*'Коэффициенты (БЛ)'!$G$43+$D36*'Коэффициенты (БЛ)'!$G$44+$D35*'Коэффициенты (БЛ)'!$G$45+$D34*'Коэффициенты (БЛ)'!$G$46+$D33*'Коэффициенты (БЛ)'!$G$47+$D32*'Коэффициенты (БЛ)'!$G$48+$D31*'Коэффициенты (БЛ)'!$G$49+$D30*'Коэффициенты (БЛ)'!$G$50</f>
        <v>44.353232510640254</v>
      </c>
      <c r="G74" s="43">
        <v>1</v>
      </c>
      <c r="H74" s="43">
        <f t="shared" si="4"/>
        <v>1694.7346346400848</v>
      </c>
      <c r="I74" s="43">
        <f t="shared" si="5"/>
        <v>44.353232510640254</v>
      </c>
    </row>
    <row r="75" spans="2:9" ht="18" customHeight="1" x14ac:dyDescent="0.35">
      <c r="B75" s="49"/>
      <c r="C75" s="36">
        <v>8</v>
      </c>
      <c r="D75" s="37">
        <f>'Обработка руды'!E49</f>
        <v>0</v>
      </c>
      <c r="E75" s="37">
        <f>$D74*'Коэффициенты (ПС)'!$G$8+Расчет!$D73*'Коэффициенты (ПС)'!$G$9+$D72*'Коэффициенты (ПС)'!$G$10+$D71*'Коэффициенты (ПС)'!$G$11+$D70*'Коэффициенты (ПС)'!$G$12+$D69*'Коэффициенты (ПС)'!$G$13+$D68*'Коэффициенты (ПС)'!$G$14+$D67*'Коэффициенты (ПС)'!$G$15+$D66*'Коэффициенты (ПС)'!$G$16+$D65*'Коэффициенты (ПС)'!$G$17+$D64*'Коэффициенты (ПС)'!$G$18+$D63*'Коэффициенты (ПС)'!$G$19+$D62*'Коэффициенты (ПС)'!$G$20+$D61*'Коэффициенты (ПС)'!$G$21+$D60*'Коэффициенты (ПС)'!$G$22+$D59*'Коэффициенты (ПС)'!$G$23+$D58*'Коэффициенты (ПС)'!$G$24+$D57*'Коэффициенты (ПС)'!$G$25+$D56*'Коэффициенты (ПС)'!$G$26+$D55*'Коэффициенты (ПС)'!$G$27+$D54*'Коэффициенты (ПС)'!$G$28+$D53*'Коэффициенты (ПС)'!$G$29+$D52*'Коэффициенты (ПС)'!$G$30+$D51*'Коэффициенты (ПС)'!$G$31+$D50*'Коэффициенты (ПС)'!$G$32+$D49*'Коэффициенты (ПС)'!$G$33+$D48*'Коэффициенты (ПС)'!$G$34+$D47*'Коэффициенты (ПС)'!$G$35+$D46*'Коэффициенты (ПС)'!$G$36+$D45*'Коэффициенты (ПС)'!$G$37+$D44*'Коэффициенты (ПС)'!$G$38+$D43*'Коэффициенты (ПС)'!$G$39+$D42*'Коэффициенты (ПС)'!$G$40+$D41*'Коэффициенты (ПС)'!$G$41+$D40*'Коэффициенты (ПС)'!$G$42+$D39*'Коэффициенты (ПС)'!$G$43+$D38*'Коэффициенты (ПС)'!$G$44+$D37*'Коэффициенты (ПС)'!$G$45+$D36*'Коэффициенты (ПС)'!$G$46+$D35*'Коэффициенты (ПС)'!$G$47+$D34*'Коэффициенты (ПС)'!$G$48+$D33*'Коэффициенты (ПС)'!$G$49+$D32*'Коэффициенты (ПС)'!$G$50+$D31*'Коэффициенты (ПС)'!$G$51+$D30*'Коэффициенты (ПС)'!$G$52</f>
        <v>1593.0020956445812</v>
      </c>
      <c r="F75" s="37">
        <f>$D74*'Коэффициенты (БЛ)'!$G$7+Расчет!$D73*'Коэффициенты (БЛ)'!$G$8+$D72*'Коэффициенты (БЛ)'!$G$9+$D71*'Коэффициенты (БЛ)'!$G$10+$D70*'Коэффициенты (БЛ)'!$G$11+$D69*'Коэффициенты (БЛ)'!$G$12+$D68*'Коэффициенты (БЛ)'!$G$13+$D67*'Коэффициенты (БЛ)'!$G$14+$D66*'Коэффициенты (БЛ)'!$G$15+$D65*'Коэффициенты (БЛ)'!$G$16+$D64*'Коэффициенты (БЛ)'!$G$17+$D63*'Коэффициенты (БЛ)'!$G$18+$D62*'Коэффициенты (БЛ)'!$G$19+$D61*'Коэффициенты (БЛ)'!$G$20+$D60*'Коэффициенты (БЛ)'!$G$21+$D59*'Коэффициенты (БЛ)'!$G$22+$D58*'Коэффициенты (БЛ)'!$G$23+$D57*'Коэффициенты (БЛ)'!$G$24+$D56*'Коэффициенты (БЛ)'!$G$25+$D55*'Коэффициенты (БЛ)'!$G$26+$D54*'Коэффициенты (БЛ)'!$G$27+$D53*'Коэффициенты (БЛ)'!$G$28+$D52*'Коэффициенты (БЛ)'!$G$29+$D51*'Коэффициенты (БЛ)'!$G$30+$D50*'Коэффициенты (БЛ)'!$G$31+$D49*'Коэффициенты (БЛ)'!$G$32+$D48*'Коэффициенты (БЛ)'!$G$33+$D47*'Коэффициенты (БЛ)'!$G$34+$D46*'Коэффициенты (БЛ)'!$G$35+$D45*'Коэффициенты (БЛ)'!$G$36+$D44*'Коэффициенты (БЛ)'!$G$37+$D43*'Коэффициенты (БЛ)'!$G$38+$D42*'Коэффициенты (БЛ)'!$G$39+$D41*'Коэффициенты (БЛ)'!$G$40+$D40*'Коэффициенты (БЛ)'!$G$41+$D39*'Коэффициенты (БЛ)'!$G$42+$D38*'Коэффициенты (БЛ)'!$G$43+$D37*'Коэффициенты (БЛ)'!$G$44+$D36*'Коэффициенты (БЛ)'!$G$45+$D35*'Коэффициенты (БЛ)'!$G$46+$D34*'Коэффициенты (БЛ)'!$G$47+$D33*'Коэффициенты (БЛ)'!$G$48+$D32*'Коэффициенты (БЛ)'!$G$49+$D31*'Коэффициенты (БЛ)'!$G$50+$D30*'Коэффициенты (БЛ)'!$G$51</f>
        <v>41.690770279835881</v>
      </c>
      <c r="G75" s="43">
        <v>1</v>
      </c>
      <c r="H75" s="43">
        <f t="shared" si="4"/>
        <v>1593.0020956445812</v>
      </c>
      <c r="I75" s="43">
        <f t="shared" si="5"/>
        <v>41.690770279835881</v>
      </c>
    </row>
    <row r="76" spans="2:9" ht="18" customHeight="1" x14ac:dyDescent="0.35">
      <c r="B76" s="49"/>
      <c r="C76" s="36">
        <v>9</v>
      </c>
      <c r="D76" s="37">
        <f>'Обработка руды'!E50</f>
        <v>0</v>
      </c>
      <c r="E76" s="37">
        <f>$D75*'Коэффициенты (ПС)'!$G$8+Расчет!$D74*'Коэффициенты (ПС)'!$G$9+$D73*'Коэффициенты (ПС)'!$G$10+$D72*'Коэффициенты (ПС)'!$G$11+$D71*'Коэффициенты (ПС)'!$G$12+$D70*'Коэффициенты (ПС)'!$G$13+$D69*'Коэффициенты (ПС)'!$G$14+$D68*'Коэффициенты (ПС)'!$G$15+$D67*'Коэффициенты (ПС)'!$G$16+$D66*'Коэффициенты (ПС)'!$G$17+$D65*'Коэффициенты (ПС)'!$G$18+$D64*'Коэффициенты (ПС)'!$G$19+$D63*'Коэффициенты (ПС)'!$G$20+$D62*'Коэффициенты (ПС)'!$G$21+$D61*'Коэффициенты (ПС)'!$G$22+$D60*'Коэффициенты (ПС)'!$G$23+$D59*'Коэффициенты (ПС)'!$G$24+$D58*'Коэффициенты (ПС)'!$G$25+$D57*'Коэффициенты (ПС)'!$G$26+$D56*'Коэффициенты (ПС)'!$G$27+$D55*'Коэффициенты (ПС)'!$G$28+$D54*'Коэффициенты (ПС)'!$G$29+$D53*'Коэффициенты (ПС)'!$G$30+$D52*'Коэффициенты (ПС)'!$G$31+$D51*'Коэффициенты (ПС)'!$G$32+$D50*'Коэффициенты (ПС)'!$G$33+$D49*'Коэффициенты (ПС)'!$G$34+$D48*'Коэффициенты (ПС)'!$G$35+$D47*'Коэффициенты (ПС)'!$G$36+$D46*'Коэффициенты (ПС)'!$G$37+$D45*'Коэффициенты (ПС)'!$G$38+$D44*'Коэффициенты (ПС)'!$G$39+$D43*'Коэффициенты (ПС)'!$G$40+$D42*'Коэффициенты (ПС)'!$G$41+$D41*'Коэффициенты (ПС)'!$G$42+$D40*'Коэффициенты (ПС)'!$G$43+$D39*'Коэффициенты (ПС)'!$G$44+$D38*'Коэффициенты (ПС)'!$G$45+$D37*'Коэффициенты (ПС)'!$G$46+$D36*'Коэффициенты (ПС)'!$G$47+$D35*'Коэффициенты (ПС)'!$G$48+$D34*'Коэффициенты (ПС)'!$G$49+$D33*'Коэффициенты (ПС)'!$G$50+$D32*'Коэффициенты (ПС)'!$G$51+$D31*'Коэффициенты (ПС)'!$G$52+$D30*'Коэффициенты (ПС)'!$G$53</f>
        <v>1534.9310788779524</v>
      </c>
      <c r="F76" s="37">
        <f>$D75*'Коэффициенты (БЛ)'!$G$7+Расчет!$D74*'Коэффициенты (БЛ)'!$G$8+$D73*'Коэффициенты (БЛ)'!$G$9+$D72*'Коэффициенты (БЛ)'!$G$10+$D71*'Коэффициенты (БЛ)'!$G$11+$D70*'Коэффициенты (БЛ)'!$G$12+$D69*'Коэффициенты (БЛ)'!$G$13+$D68*'Коэффициенты (БЛ)'!$G$14+$D67*'Коэффициенты (БЛ)'!$G$15+$D66*'Коэффициенты (БЛ)'!$G$16+$D65*'Коэффициенты (БЛ)'!$G$17+$D64*'Коэффициенты (БЛ)'!$G$18+$D63*'Коэффициенты (БЛ)'!$G$19+$D62*'Коэффициенты (БЛ)'!$G$20+$D61*'Коэффициенты (БЛ)'!$G$21+$D60*'Коэффициенты (БЛ)'!$G$22+$D59*'Коэффициенты (БЛ)'!$G$23+$D58*'Коэффициенты (БЛ)'!$G$24+$D57*'Коэффициенты (БЛ)'!$G$25+$D56*'Коэффициенты (БЛ)'!$G$26+$D55*'Коэффициенты (БЛ)'!$G$27+$D54*'Коэффициенты (БЛ)'!$G$28+$D53*'Коэффициенты (БЛ)'!$G$29+$D52*'Коэффициенты (БЛ)'!$G$30+$D51*'Коэффициенты (БЛ)'!$G$31+$D50*'Коэффициенты (БЛ)'!$G$32+$D49*'Коэффициенты (БЛ)'!$G$33+$D48*'Коэффициенты (БЛ)'!$G$34+$D47*'Коэффициенты (БЛ)'!$G$35+$D46*'Коэффициенты (БЛ)'!$G$36+$D45*'Коэффициенты (БЛ)'!$G$37+$D44*'Коэффициенты (БЛ)'!$G$38+$D43*'Коэффициенты (БЛ)'!$G$39+$D42*'Коэффициенты (БЛ)'!$G$40+$D41*'Коэффициенты (БЛ)'!$G$41+$D40*'Коэффициенты (БЛ)'!$G$42+$D39*'Коэффициенты (БЛ)'!$G$43+$D38*'Коэффициенты (БЛ)'!$G$44+$D37*'Коэффициенты (БЛ)'!$G$45+$D36*'Коэффициенты (БЛ)'!$G$46+$D35*'Коэффициенты (БЛ)'!$G$47+$D34*'Коэффициенты (БЛ)'!$G$48+$D33*'Коэффициенты (БЛ)'!$G$49+$D32*'Коэффициенты (БЛ)'!$G$50+$D31*'Коэффициенты (БЛ)'!$G$51+$D30*'Коэффициенты (БЛ)'!$G$52</f>
        <v>40.170982310596301</v>
      </c>
      <c r="G76" s="43">
        <v>1</v>
      </c>
      <c r="H76" s="43">
        <f t="shared" si="4"/>
        <v>1534.9310788779524</v>
      </c>
      <c r="I76" s="43">
        <f t="shared" si="5"/>
        <v>40.170982310596301</v>
      </c>
    </row>
    <row r="77" spans="2:9" ht="18" customHeight="1" x14ac:dyDescent="0.35">
      <c r="B77" s="49"/>
      <c r="C77" s="36">
        <v>10</v>
      </c>
      <c r="D77" s="37">
        <f>'Обработка руды'!E51</f>
        <v>0</v>
      </c>
      <c r="E77" s="37">
        <f>$D76*'Коэффициенты (ПС)'!$G$8+Расчет!$D75*'Коэффициенты (ПС)'!$G$9+$D74*'Коэффициенты (ПС)'!$G$10+$D73*'Коэффициенты (ПС)'!$G$11+$D72*'Коэффициенты (ПС)'!$G$12+$D71*'Коэффициенты (ПС)'!$G$13+$D70*'Коэффициенты (ПС)'!$G$14+$D69*'Коэффициенты (ПС)'!$G$15+$D68*'Коэффициенты (ПС)'!$G$16+$D67*'Коэффициенты (ПС)'!$G$17+$D66*'Коэффициенты (ПС)'!$G$18+$D65*'Коэффициенты (ПС)'!$G$19+$D64*'Коэффициенты (ПС)'!$G$20+$D63*'Коэффициенты (ПС)'!$G$21+$D62*'Коэффициенты (ПС)'!$G$22+$D61*'Коэффициенты (ПС)'!$G$23+$D60*'Коэффициенты (ПС)'!$G$24+$D59*'Коэффициенты (ПС)'!$G$25+$D58*'Коэффициенты (ПС)'!$G$26+$D57*'Коэффициенты (ПС)'!$G$27+$D56*'Коэффициенты (ПС)'!$G$28+$D55*'Коэффициенты (ПС)'!$G$29+$D54*'Коэффициенты (ПС)'!$G$30+$D53*'Коэффициенты (ПС)'!$G$31+$D52*'Коэффициенты (ПС)'!$G$32+$D51*'Коэффициенты (ПС)'!$G$33+$D50*'Коэффициенты (ПС)'!$G$34+$D49*'Коэффициенты (ПС)'!$G$35+$D48*'Коэффициенты (ПС)'!$G$36+$D47*'Коэффициенты (ПС)'!$G$37+$D46*'Коэффициенты (ПС)'!$G$38+$D45*'Коэффициенты (ПС)'!$G$39+$D44*'Коэффициенты (ПС)'!$G$40+$D43*'Коэффициенты (ПС)'!$G$41+$D42*'Коэффициенты (ПС)'!$G$42+$D41*'Коэффициенты (ПС)'!$G$43+$D40*'Коэффициенты (ПС)'!$G$44+$D39*'Коэффициенты (ПС)'!$G$45+$D38*'Коэффициенты (ПС)'!$G$46+$D37*'Коэффициенты (ПС)'!$G$47+$D36*'Коэффициенты (ПС)'!$G$48+$D35*'Коэффициенты (ПС)'!$G$49+$D34*'Коэффициенты (ПС)'!$G$50+$D33*'Коэффициенты (ПС)'!$G$51+$D32*'Коэффициенты (ПС)'!$G$52+$D31*'Коэффициенты (ПС)'!$G$53+$D30*'Коэффициенты (ПС)'!$G$54</f>
        <v>1492.5856576743133</v>
      </c>
      <c r="F77" s="37">
        <f>$D76*'Коэффициенты (БЛ)'!$G$7+Расчет!$D75*'Коэффициенты (БЛ)'!$G$8+$D74*'Коэффициенты (БЛ)'!$G$9+$D73*'Коэффициенты (БЛ)'!$G$10+$D72*'Коэффициенты (БЛ)'!$G$11+$D71*'Коэффициенты (БЛ)'!$G$12+$D70*'Коэффициенты (БЛ)'!$G$13+$D69*'Коэффициенты (БЛ)'!$G$14+$D68*'Коэффициенты (БЛ)'!$G$15+$D67*'Коэффициенты (БЛ)'!$G$16+$D66*'Коэффициенты (БЛ)'!$G$17+$D65*'Коэффициенты (БЛ)'!$G$18+$D64*'Коэффициенты (БЛ)'!$G$19+$D63*'Коэффициенты (БЛ)'!$G$20+$D62*'Коэффициенты (БЛ)'!$G$21+$D61*'Коэффициенты (БЛ)'!$G$22+$D60*'Коэффициенты (БЛ)'!$G$23+$D59*'Коэффициенты (БЛ)'!$G$24+$D58*'Коэффициенты (БЛ)'!$G$25+$D57*'Коэффициенты (БЛ)'!$G$26+$D56*'Коэффициенты (БЛ)'!$G$27+$D55*'Коэффициенты (БЛ)'!$G$28+$D54*'Коэффициенты (БЛ)'!$G$29+$D53*'Коэффициенты (БЛ)'!$G$30+$D52*'Коэффициенты (БЛ)'!$G$31+$D51*'Коэффициенты (БЛ)'!$G$32+$D50*'Коэффициенты (БЛ)'!$G$33+$D49*'Коэффициенты (БЛ)'!$G$34+$D48*'Коэффициенты (БЛ)'!$G$35+$D47*'Коэффициенты (БЛ)'!$G$36+$D46*'Коэффициенты (БЛ)'!$G$37+$D45*'Коэффициенты (БЛ)'!$G$38+$D44*'Коэффициенты (БЛ)'!$G$39+$D43*'Коэффициенты (БЛ)'!$G$40+$D42*'Коэффициенты (БЛ)'!$G$41+$D41*'Коэффициенты (БЛ)'!$G$42+$D40*'Коэффициенты (БЛ)'!$G$43+$D39*'Коэффициенты (БЛ)'!$G$44+$D38*'Коэффициенты (БЛ)'!$G$45+$D37*'Коэффициенты (БЛ)'!$G$46+$D36*'Коэффициенты (БЛ)'!$G$47+$D35*'Коэффициенты (БЛ)'!$G$48+$D34*'Коэффициенты (БЛ)'!$G$49+$D33*'Коэффициенты (БЛ)'!$G$50+$D32*'Коэффициенты (БЛ)'!$G$51+$D31*'Коэффициенты (БЛ)'!$G$52+$D30*'Коэффициенты (БЛ)'!$G$53</f>
        <v>39.062751987089079</v>
      </c>
      <c r="G77" s="43">
        <v>1</v>
      </c>
      <c r="H77" s="43">
        <f t="shared" si="4"/>
        <v>1492.5856576743133</v>
      </c>
      <c r="I77" s="43">
        <f t="shared" si="5"/>
        <v>39.062751987089079</v>
      </c>
    </row>
    <row r="78" spans="2:9" ht="18" customHeight="1" x14ac:dyDescent="0.35">
      <c r="B78" s="49"/>
      <c r="C78" s="36">
        <v>11</v>
      </c>
      <c r="D78" s="37">
        <f>'Обработка руды'!E52</f>
        <v>81940.771044491819</v>
      </c>
      <c r="E78" s="37">
        <f>$D77*'Коэффициенты (ПС)'!$G$8+Расчет!$D76*'Коэффициенты (ПС)'!$G$9+$D75*'Коэффициенты (ПС)'!$G$10+$D74*'Коэффициенты (ПС)'!$G$11+$D73*'Коэффициенты (ПС)'!$G$12+$D72*'Коэффициенты (ПС)'!$G$13+$D71*'Коэффициенты (ПС)'!$G$14+$D70*'Коэффициенты (ПС)'!$G$15+$D69*'Коэффициенты (ПС)'!$G$16+$D68*'Коэффициенты (ПС)'!$G$17+$D67*'Коэффициенты (ПС)'!$G$18+$D66*'Коэффициенты (ПС)'!$G$19+$D65*'Коэффициенты (ПС)'!$G$20+$D64*'Коэффициенты (ПС)'!$G$21+$D63*'Коэффициенты (ПС)'!$G$22+$D62*'Коэффициенты (ПС)'!$G$23+$D61*'Коэффициенты (ПС)'!$G$24+$D60*'Коэффициенты (ПС)'!$G$25+$D59*'Коэффициенты (ПС)'!$G$26+$D58*'Коэффициенты (ПС)'!$G$27+$D57*'Коэффициенты (ПС)'!$G$28+$D56*'Коэффициенты (ПС)'!$G$29+$D55*'Коэффициенты (ПС)'!$G$30+$D54*'Коэффициенты (ПС)'!$G$31+$D53*'Коэффициенты (ПС)'!$G$32+$D52*'Коэффициенты (ПС)'!$G$33+$D51*'Коэффициенты (ПС)'!$G$34+$D50*'Коэффициенты (ПС)'!$G$35+$D49*'Коэффициенты (ПС)'!$G$36+$D48*'Коэффициенты (ПС)'!$G$37+$D47*'Коэффициенты (ПС)'!$G$38+$D46*'Коэффициенты (ПС)'!$G$39+$D45*'Коэффициенты (ПС)'!$G$40+$D44*'Коэффициенты (ПС)'!$G$41+$D43*'Коэффициенты (ПС)'!$G$42+$D42*'Коэффициенты (ПС)'!$G$43+$D41*'Коэффициенты (ПС)'!$G$44+$D40*'Коэффициенты (ПС)'!$G$45+$D39*'Коэффициенты (ПС)'!$G$46+$D38*'Коэффициенты (ПС)'!$G$47+$D37*'Коэффициенты (ПС)'!$G$48+$D36*'Коэффициенты (ПС)'!$G$49+$D35*'Коэффициенты (ПС)'!$G$50+$D34*'Коэффициенты (ПС)'!$G$51+$D33*'Коэффициенты (ПС)'!$G$52+$D32*'Коэффициенты (ПС)'!$G$53+$D31*'Коэффициенты (ПС)'!$G$54+$D30*'Коэффициенты (ПС)'!$G$55</f>
        <v>1425.4499957370383</v>
      </c>
      <c r="F78" s="37">
        <f>$D77*'Коэффициенты (БЛ)'!$G$7+Расчет!$D76*'Коэффициенты (БЛ)'!$G$8+$D75*'Коэффициенты (БЛ)'!$G$9+$D74*'Коэффициенты (БЛ)'!$G$10+$D73*'Коэффициенты (БЛ)'!$G$11+$D72*'Коэффициенты (БЛ)'!$G$12+$D71*'Коэффициенты (БЛ)'!$G$13+$D70*'Коэффициенты (БЛ)'!$G$14+$D69*'Коэффициенты (БЛ)'!$G$15+$D68*'Коэффициенты (БЛ)'!$G$16+$D67*'Коэффициенты (БЛ)'!$G$17+$D66*'Коэффициенты (БЛ)'!$G$18+$D65*'Коэффициенты (БЛ)'!$G$19+$D64*'Коэффициенты (БЛ)'!$G$20+$D63*'Коэффициенты (БЛ)'!$G$21+$D62*'Коэффициенты (БЛ)'!$G$22+$D61*'Коэффициенты (БЛ)'!$G$23+$D60*'Коэффициенты (БЛ)'!$G$24+$D59*'Коэффициенты (БЛ)'!$G$25+$D58*'Коэффициенты (БЛ)'!$G$26+$D57*'Коэффициенты (БЛ)'!$G$27+$D56*'Коэффициенты (БЛ)'!$G$28+$D55*'Коэффициенты (БЛ)'!$G$29+$D54*'Коэффициенты (БЛ)'!$G$30+$D53*'Коэффициенты (БЛ)'!$G$31+$D52*'Коэффициенты (БЛ)'!$G$32+$D51*'Коэффициенты (БЛ)'!$G$33+$D50*'Коэффициенты (БЛ)'!$G$34+$D49*'Коэффициенты (БЛ)'!$G$35+$D48*'Коэффициенты (БЛ)'!$G$36+$D47*'Коэффициенты (БЛ)'!$G$37+$D46*'Коэффициенты (БЛ)'!$G$38+$D45*'Коэффициенты (БЛ)'!$G$39+$D44*'Коэффициенты (БЛ)'!$G$40+$D43*'Коэффициенты (БЛ)'!$G$41+$D42*'Коэффициенты (БЛ)'!$G$42+$D41*'Коэффициенты (БЛ)'!$G$43+$D40*'Коэффициенты (БЛ)'!$G$44+$D39*'Коэффициенты (БЛ)'!$G$45+$D38*'Коэффициенты (БЛ)'!$G$46+$D37*'Коэффициенты (БЛ)'!$G$47+$D36*'Коэффициенты (БЛ)'!$G$48+$D35*'Коэффициенты (БЛ)'!$G$49+$D34*'Коэффициенты (БЛ)'!$G$50+$D33*'Коэффициенты (БЛ)'!$G$51+$D32*'Коэффициенты (БЛ)'!$G$52+$D31*'Коэффициенты (БЛ)'!$G$53+$D30*'Коэффициенты (БЛ)'!$G$54</f>
        <v>37.305731411244246</v>
      </c>
      <c r="G78" s="43">
        <v>1</v>
      </c>
      <c r="H78" s="43">
        <f t="shared" si="4"/>
        <v>1425.4499957370383</v>
      </c>
      <c r="I78" s="43">
        <f t="shared" si="5"/>
        <v>37.305731411244246</v>
      </c>
    </row>
    <row r="79" spans="2:9" ht="18" customHeight="1" x14ac:dyDescent="0.35">
      <c r="B79" s="49"/>
      <c r="C79" s="36">
        <v>12</v>
      </c>
      <c r="D79" s="37">
        <f>'Обработка руды'!E53</f>
        <v>164932.06479468226</v>
      </c>
      <c r="E79" s="37">
        <f>$D78*'Коэффициенты (ПС)'!$G$8+Расчет!$D77*'Коэффициенты (ПС)'!$G$9+$D76*'Коэффициенты (ПС)'!$G$10+$D75*'Коэффициенты (ПС)'!$G$11+$D74*'Коэффициенты (ПС)'!$G$12+$D73*'Коэффициенты (ПС)'!$G$13+$D72*'Коэффициенты (ПС)'!$G$14+$D71*'Коэффициенты (ПС)'!$G$15+$D70*'Коэффициенты (ПС)'!$G$16+$D69*'Коэффициенты (ПС)'!$G$17+$D68*'Коэффициенты (ПС)'!$G$18+$D67*'Коэффициенты (ПС)'!$G$19+$D66*'Коэффициенты (ПС)'!$G$20+$D65*'Коэффициенты (ПС)'!$G$21+$D64*'Коэффициенты (ПС)'!$G$22+$D63*'Коэффициенты (ПС)'!$G$23+$D62*'Коэффициенты (ПС)'!$G$24+$D61*'Коэффициенты (ПС)'!$G$25+$D60*'Коэффициенты (ПС)'!$G$26+$D59*'Коэффициенты (ПС)'!$G$27+$D58*'Коэффициенты (ПС)'!$G$28+$D57*'Коэффициенты (ПС)'!$G$29+$D56*'Коэффициенты (ПС)'!$G$30+$D55*'Коэффициенты (ПС)'!$G$31+$D54*'Коэффициенты (ПС)'!$G$32+$D53*'Коэффициенты (ПС)'!$G$33+$D52*'Коэффициенты (ПС)'!$G$34+$D51*'Коэффициенты (ПС)'!$G$35+$D50*'Коэффициенты (ПС)'!$G$36+$D49*'Коэффициенты (ПС)'!$G$37+$D48*'Коэффициенты (ПС)'!$G$38+$D47*'Коэффициенты (ПС)'!$G$39+$D46*'Коэффициенты (ПС)'!$G$40+$D45*'Коэффициенты (ПС)'!$G$41+$D44*'Коэффициенты (ПС)'!$G$42+$D43*'Коэффициенты (ПС)'!$G$43+$D42*'Коэффициенты (ПС)'!$G$44+$D41*'Коэффициенты (ПС)'!$G$45+$D40*'Коэффициенты (ПС)'!$G$46+$D39*'Коэффициенты (ПС)'!$G$47+$D38*'Коэффициенты (ПС)'!$G$48+$D37*'Коэффициенты (ПС)'!$G$49+$D36*'Коэффициенты (ПС)'!$G$50+$D35*'Коэффициенты (ПС)'!$G$51+$D34*'Коэффициенты (ПС)'!$G$52+$D33*'Коэффициенты (ПС)'!$G$53+$D32*'Коэффициенты (ПС)'!$G$54+$D31*'Коэффициенты (ПС)'!$G$55+$D30*'Коэффициенты (ПС)'!$G$56</f>
        <v>2330.8805591962027</v>
      </c>
      <c r="F79" s="37">
        <f>$D78*'Коэффициенты (БЛ)'!$G$7+Расчет!$D77*'Коэффициенты (БЛ)'!$G$8+$D76*'Коэффициенты (БЛ)'!$G$9+$D75*'Коэффициенты (БЛ)'!$G$10+$D74*'Коэффициенты (БЛ)'!$G$11+$D73*'Коэффициенты (БЛ)'!$G$12+$D72*'Коэффициенты (БЛ)'!$G$13+$D71*'Коэффициенты (БЛ)'!$G$14+$D70*'Коэффициенты (БЛ)'!$G$15+$D69*'Коэффициенты (БЛ)'!$G$16+$D68*'Коэффициенты (БЛ)'!$G$17+$D67*'Коэффициенты (БЛ)'!$G$18+$D66*'Коэффициенты (БЛ)'!$G$19+$D65*'Коэффициенты (БЛ)'!$G$20+$D64*'Коэффициенты (БЛ)'!$G$21+$D63*'Коэффициенты (БЛ)'!$G$22+$D62*'Коэффициенты (БЛ)'!$G$23+$D61*'Коэффициенты (БЛ)'!$G$24+$D60*'Коэффициенты (БЛ)'!$G$25+$D59*'Коэффициенты (БЛ)'!$G$26+$D58*'Коэффициенты (БЛ)'!$G$27+$D57*'Коэффициенты (БЛ)'!$G$28+$D56*'Коэффициенты (БЛ)'!$G$29+$D55*'Коэффициенты (БЛ)'!$G$30+$D54*'Коэффициенты (БЛ)'!$G$31+$D53*'Коэффициенты (БЛ)'!$G$32+$D52*'Коэффициенты (БЛ)'!$G$33+$D51*'Коэффициенты (БЛ)'!$G$34+$D50*'Коэффициенты (БЛ)'!$G$35+$D49*'Коэффициенты (БЛ)'!$G$36+$D48*'Коэффициенты (БЛ)'!$G$37+$D47*'Коэффициенты (БЛ)'!$G$38+$D46*'Коэффициенты (БЛ)'!$G$39+$D45*'Коэффициенты (БЛ)'!$G$40+$D44*'Коэффициенты (БЛ)'!$G$41+$D43*'Коэффициенты (БЛ)'!$G$42+$D42*'Коэффициенты (БЛ)'!$G$43+$D41*'Коэффициенты (БЛ)'!$G$44+$D40*'Коэффициенты (БЛ)'!$G$45+$D39*'Коэффициенты (БЛ)'!$G$46+$D38*'Коэффициенты (БЛ)'!$G$47+$D37*'Коэффициенты (БЛ)'!$G$48+$D36*'Коэффициенты (БЛ)'!$G$49+$D35*'Коэффициенты (БЛ)'!$G$50+$D34*'Коэффициенты (БЛ)'!$G$51+$D33*'Коэффициенты (БЛ)'!$G$52+$D32*'Коэффициенты (БЛ)'!$G$53+$D31*'Коэффициенты (БЛ)'!$G$54+$D30*'Коэффициенты (БЛ)'!$G$55</f>
        <v>61.00193226918735</v>
      </c>
      <c r="G79" s="43">
        <v>1</v>
      </c>
      <c r="H79" s="43">
        <f t="shared" si="4"/>
        <v>2330.8805591962027</v>
      </c>
      <c r="I79" s="43">
        <f t="shared" si="5"/>
        <v>61.00193226918735</v>
      </c>
    </row>
    <row r="80" spans="2:9" ht="18" customHeight="1" x14ac:dyDescent="0.35">
      <c r="B80" s="49">
        <v>2030</v>
      </c>
      <c r="C80" s="36">
        <v>1</v>
      </c>
      <c r="D80" s="37">
        <f>'Обработка руды'!E54</f>
        <v>0</v>
      </c>
      <c r="E80" s="37">
        <f>$D79*'Коэффициенты (ПС)'!$G$8+Расчет!$D78*'Коэффициенты (ПС)'!$G$9+$D77*'Коэффициенты (ПС)'!$G$10+$D76*'Коэффициенты (ПС)'!$G$11+$D75*'Коэффициенты (ПС)'!$G$12+$D74*'Коэффициенты (ПС)'!$G$13+$D73*'Коэффициенты (ПС)'!$G$14+$D72*'Коэффициенты (ПС)'!$G$15+$D71*'Коэффициенты (ПС)'!$G$16+$D70*'Коэффициенты (ПС)'!$G$17+$D69*'Коэффициенты (ПС)'!$G$18+$D68*'Коэффициенты (ПС)'!$G$19+$D67*'Коэффициенты (ПС)'!$G$20+$D66*'Коэффициенты (ПС)'!$G$21+$D65*'Коэффициенты (ПС)'!$G$22+$D64*'Коэффициенты (ПС)'!$G$23+$D63*'Коэффициенты (ПС)'!$G$24+$D62*'Коэффициенты (ПС)'!$G$25+$D61*'Коэффициенты (ПС)'!$G$26+$D60*'Коэффициенты (ПС)'!$G$27+$D59*'Коэффициенты (ПС)'!$G$28+$D58*'Коэффициенты (ПС)'!$G$29+$D57*'Коэффициенты (ПС)'!$G$30+$D56*'Коэффициенты (ПС)'!$G$31+$D55*'Коэффициенты (ПС)'!$G$32+$D54*'Коэффициенты (ПС)'!$G$33+$D53*'Коэффициенты (ПС)'!$G$34+$D52*'Коэффициенты (ПС)'!$G$35+$D51*'Коэффициенты (ПС)'!$G$36+$D50*'Коэффициенты (ПС)'!$G$37+$D49*'Коэффициенты (ПС)'!$G$38+$D48*'Коэффициенты (ПС)'!$G$39+$D47*'Коэффициенты (ПС)'!$G$40+$D46*'Коэффициенты (ПС)'!$G$41+$D45*'Коэффициенты (ПС)'!$G$42+$D44*'Коэффициенты (ПС)'!$G$43+$D43*'Коэффициенты (ПС)'!$G$44+$D42*'Коэффициенты (ПС)'!$G$45+$D41*'Коэффициенты (ПС)'!$G$46+$D40*'Коэффициенты (ПС)'!$G$47+$D39*'Коэффициенты (ПС)'!$G$48+$D38*'Коэффициенты (ПС)'!$G$49+$D37*'Коэффициенты (ПС)'!$G$50+$D36*'Коэффициенты (ПС)'!$G$51+$D35*'Коэффициенты (ПС)'!$G$52+$D34*'Коэффициенты (ПС)'!$G$53+$D33*'Коэффициенты (ПС)'!$G$54+$D32*'Коэффициенты (ПС)'!$G$55+$D31*'Коэффициенты (ПС)'!$G$56+$D30*'Коэффициенты (ПС)'!$G$57</f>
        <v>3516.4116498070762</v>
      </c>
      <c r="F80" s="37">
        <f>$D79*'Коэффициенты (БЛ)'!$G$7+Расчет!$D78*'Коэффициенты (БЛ)'!$G$8+$D77*'Коэффициенты (БЛ)'!$G$9+$D76*'Коэффициенты (БЛ)'!$G$10+$D75*'Коэффициенты (БЛ)'!$G$11+$D74*'Коэффициенты (БЛ)'!$G$12+$D73*'Коэффициенты (БЛ)'!$G$13+$D72*'Коэффициенты (БЛ)'!$G$14+$D71*'Коэффициенты (БЛ)'!$G$15+$D70*'Коэффициенты (БЛ)'!$G$16+$D69*'Коэффициенты (БЛ)'!$G$17+$D68*'Коэффициенты (БЛ)'!$G$18+$D67*'Коэффициенты (БЛ)'!$G$19+$D66*'Коэффициенты (БЛ)'!$G$20+$D65*'Коэффициенты (БЛ)'!$G$21+$D64*'Коэффициенты (БЛ)'!$G$22+$D63*'Коэффициенты (БЛ)'!$G$23+$D62*'Коэффициенты (БЛ)'!$G$24+$D61*'Коэффициенты (БЛ)'!$G$25+$D60*'Коэффициенты (БЛ)'!$G$26+$D59*'Коэффициенты (БЛ)'!$G$27+$D58*'Коэффициенты (БЛ)'!$G$28+$D57*'Коэффициенты (БЛ)'!$G$29+$D56*'Коэффициенты (БЛ)'!$G$30+$D55*'Коэффициенты (БЛ)'!$G$31+$D54*'Коэффициенты (БЛ)'!$G$32+$D53*'Коэффициенты (БЛ)'!$G$33+$D52*'Коэффициенты (БЛ)'!$G$34+$D51*'Коэффициенты (БЛ)'!$G$35+$D50*'Коэффициенты (БЛ)'!$G$36+$D49*'Коэффициенты (БЛ)'!$G$37+$D48*'Коэффициенты (БЛ)'!$G$38+$D47*'Коэффициенты (БЛ)'!$G$39+$D46*'Коэффициенты (БЛ)'!$G$40+$D45*'Коэффициенты (БЛ)'!$G$41+$D44*'Коэффициенты (БЛ)'!$G$42+$D43*'Коэффициенты (БЛ)'!$G$43+$D42*'Коэффициенты (БЛ)'!$G$44+$D41*'Коэффициенты (БЛ)'!$G$45+$D40*'Коэффициенты (БЛ)'!$G$46+$D39*'Коэффициенты (БЛ)'!$G$47+$D38*'Коэффициенты (БЛ)'!$G$48+$D37*'Коэффициенты (БЛ)'!$G$49+$D36*'Коэффициенты (БЛ)'!$G$50+$D35*'Коэффициенты (БЛ)'!$G$51+$D34*'Коэффициенты (БЛ)'!$G$52+$D33*'Коэффициенты (БЛ)'!$G$53+$D32*'Коэффициенты (БЛ)'!$G$54+$D31*'Коэффициенты (БЛ)'!$G$55+$D30*'Коэффициенты (БЛ)'!$G$56</f>
        <v>92.028698959197271</v>
      </c>
      <c r="G80" s="43">
        <v>1</v>
      </c>
      <c r="H80" s="43">
        <f t="shared" si="4"/>
        <v>3516.4116498070762</v>
      </c>
      <c r="I80" s="43">
        <f t="shared" si="5"/>
        <v>92.028698959197271</v>
      </c>
    </row>
    <row r="81" spans="2:9" ht="18" customHeight="1" x14ac:dyDescent="0.35">
      <c r="B81" s="49"/>
      <c r="C81" s="36">
        <v>2</v>
      </c>
      <c r="D81" s="37">
        <f>'Обработка руды'!E55</f>
        <v>73126.897614878224</v>
      </c>
      <c r="E81" s="37">
        <f>$D80*'Коэффициенты (ПС)'!$G$8+Расчет!$D79*'Коэффициенты (ПС)'!$G$9+$D78*'Коэффициенты (ПС)'!$G$10+$D77*'Коэффициенты (ПС)'!$G$11+$D76*'Коэффициенты (ПС)'!$G$12+$D75*'Коэффициенты (ПС)'!$G$13+$D74*'Коэффициенты (ПС)'!$G$14+$D73*'Коэффициенты (ПС)'!$G$15+$D72*'Коэффициенты (ПС)'!$G$16+$D71*'Коэффициенты (ПС)'!$G$17+$D70*'Коэффициенты (ПС)'!$G$18+$D69*'Коэффициенты (ПС)'!$G$19+$D68*'Коэффициенты (ПС)'!$G$20+$D67*'Коэффициенты (ПС)'!$G$21+$D66*'Коэффициенты (ПС)'!$G$22+$D65*'Коэффициенты (ПС)'!$G$23+$D64*'Коэффициенты (ПС)'!$G$24+$D63*'Коэффициенты (ПС)'!$G$25+$D62*'Коэффициенты (ПС)'!$G$26+$D61*'Коэффициенты (ПС)'!$G$27+$D60*'Коэффициенты (ПС)'!$G$28+$D59*'Коэффициенты (ПС)'!$G$29+$D58*'Коэффициенты (ПС)'!$G$30+$D57*'Коэффициенты (ПС)'!$G$31+$D56*'Коэффициенты (ПС)'!$G$32+$D55*'Коэффициенты (ПС)'!$G$33+$D54*'Коэффициенты (ПС)'!$G$34+$D53*'Коэффициенты (ПС)'!$G$35+$D52*'Коэффициенты (ПС)'!$G$36+$D51*'Коэффициенты (ПС)'!$G$37+$D50*'Коэффициенты (ПС)'!$G$38+$D49*'Коэффициенты (ПС)'!$G$39+$D48*'Коэффициенты (ПС)'!$G$40+$D47*'Коэффициенты (ПС)'!$G$41+$D46*'Коэффициенты (ПС)'!$G$42+$D45*'Коэффициенты (ПС)'!$G$43+$D44*'Коэффициенты (ПС)'!$G$44+$D43*'Коэффициенты (ПС)'!$G$45+$D42*'Коэффициенты (ПС)'!$G$46+$D41*'Коэффициенты (ПС)'!$G$47+$D40*'Коэффициенты (ПС)'!$G$48+$D39*'Коэффициенты (ПС)'!$G$49+$D38*'Коэффициенты (ПС)'!$G$50+$D37*'Коэффициенты (ПС)'!$G$51+$D36*'Коэффициенты (ПС)'!$G$52+$D35*'Коэффициенты (ПС)'!$G$53+$D34*'Коэффициенты (ПС)'!$G$54+$D33*'Коэффициенты (ПС)'!$G$55+$D32*'Коэффициенты (ПС)'!$G$56+$D31*'Коэффициенты (ПС)'!$G$57+$D30*'Коэффициенты (ПС)'!$G$58</f>
        <v>2279.7757365344787</v>
      </c>
      <c r="F81" s="37">
        <f>$D80*'Коэффициенты (БЛ)'!$G$7+Расчет!$D79*'Коэффициенты (БЛ)'!$G$8+$D78*'Коэффициенты (БЛ)'!$G$9+$D77*'Коэффициенты (БЛ)'!$G$10+$D76*'Коэффициенты (БЛ)'!$G$11+$D75*'Коэффициенты (БЛ)'!$G$12+$D74*'Коэффициенты (БЛ)'!$G$13+$D73*'Коэффициенты (БЛ)'!$G$14+$D72*'Коэффициенты (БЛ)'!$G$15+$D71*'Коэффициенты (БЛ)'!$G$16+$D70*'Коэффициенты (БЛ)'!$G$17+$D69*'Коэффициенты (БЛ)'!$G$18+$D68*'Коэффициенты (БЛ)'!$G$19+$D67*'Коэффициенты (БЛ)'!$G$20+$D66*'Коэффициенты (БЛ)'!$G$21+$D65*'Коэффициенты (БЛ)'!$G$22+$D64*'Коэффициенты (БЛ)'!$G$23+$D63*'Коэффициенты (БЛ)'!$G$24+$D62*'Коэффициенты (БЛ)'!$G$25+$D61*'Коэффициенты (БЛ)'!$G$26+$D60*'Коэффициенты (БЛ)'!$G$27+$D59*'Коэффициенты (БЛ)'!$G$28+$D58*'Коэффициенты (БЛ)'!$G$29+$D57*'Коэффициенты (БЛ)'!$G$30+$D56*'Коэффициенты (БЛ)'!$G$31+$D55*'Коэффициенты (БЛ)'!$G$32+$D54*'Коэффициенты (БЛ)'!$G$33+$D53*'Коэффициенты (БЛ)'!$G$34+$D52*'Коэффициенты (БЛ)'!$G$35+$D51*'Коэффициенты (БЛ)'!$G$36+$D50*'Коэффициенты (БЛ)'!$G$37+$D49*'Коэффициенты (БЛ)'!$G$38+$D48*'Коэффициенты (БЛ)'!$G$39+$D47*'Коэффициенты (БЛ)'!$G$40+$D46*'Коэффициенты (БЛ)'!$G$41+$D45*'Коэффициенты (БЛ)'!$G$42+$D44*'Коэффициенты (БЛ)'!$G$43+$D43*'Коэффициенты (БЛ)'!$G$44+$D42*'Коэффициенты (БЛ)'!$G$45+$D41*'Коэффициенты (БЛ)'!$G$46+$D40*'Коэффициенты (БЛ)'!$G$47+$D39*'Коэффициенты (БЛ)'!$G$48+$D38*'Коэффициенты (БЛ)'!$G$49+$D37*'Коэффициенты (БЛ)'!$G$50+$D36*'Коэффициенты (БЛ)'!$G$51+$D35*'Коэффициенты (БЛ)'!$G$52+$D34*'Коэффициенты (БЛ)'!$G$53+$D33*'Коэффициенты (БЛ)'!$G$54+$D32*'Коэффициенты (БЛ)'!$G$55+$D31*'Коэффициенты (БЛ)'!$G$56+$D30*'Коэффициенты (БЛ)'!$G$57</f>
        <v>59.664457932143577</v>
      </c>
      <c r="G81" s="43">
        <v>1</v>
      </c>
      <c r="H81" s="43">
        <f t="shared" si="4"/>
        <v>2279.7757365344787</v>
      </c>
      <c r="I81" s="43">
        <f t="shared" si="5"/>
        <v>59.664457932143577</v>
      </c>
    </row>
    <row r="82" spans="2:9" ht="18" customHeight="1" x14ac:dyDescent="0.35">
      <c r="B82" s="49"/>
      <c r="C82" s="36">
        <v>3</v>
      </c>
      <c r="D82" s="37">
        <f>'Обработка руды'!E56</f>
        <v>0</v>
      </c>
      <c r="E82" s="37">
        <f>$D81*'Коэффициенты (ПС)'!$G$8+Расчет!$D80*'Коэффициенты (ПС)'!$G$9+$D79*'Коэффициенты (ПС)'!$G$10+$D78*'Коэффициенты (ПС)'!$G$11+$D77*'Коэффициенты (ПС)'!$G$12+$D76*'Коэффициенты (ПС)'!$G$13+$D75*'Коэффициенты (ПС)'!$G$14+$D74*'Коэффициенты (ПС)'!$G$15+$D73*'Коэффициенты (ПС)'!$G$16+$D72*'Коэффициенты (ПС)'!$G$17+$D71*'Коэффициенты (ПС)'!$G$18+$D70*'Коэффициенты (ПС)'!$G$19+$D69*'Коэффициенты (ПС)'!$G$20+$D68*'Коэффициенты (ПС)'!$G$21+$D67*'Коэффициенты (ПС)'!$G$22+$D66*'Коэффициенты (ПС)'!$G$23+$D65*'Коэффициенты (ПС)'!$G$24+$D64*'Коэффициенты (ПС)'!$G$25+$D63*'Коэффициенты (ПС)'!$G$26+$D62*'Коэффициенты (ПС)'!$G$27+$D61*'Коэффициенты (ПС)'!$G$28+$D60*'Коэффициенты (ПС)'!$G$29+$D59*'Коэффициенты (ПС)'!$G$30+$D58*'Коэффициенты (ПС)'!$G$31+$D57*'Коэффициенты (ПС)'!$G$32+$D56*'Коэффициенты (ПС)'!$G$33+$D55*'Коэффициенты (ПС)'!$G$34+$D54*'Коэффициенты (ПС)'!$G$35+$D53*'Коэффициенты (ПС)'!$G$36+$D52*'Коэффициенты (ПС)'!$G$37+$D51*'Коэффициенты (ПС)'!$G$38+$D50*'Коэффициенты (ПС)'!$G$39+$D49*'Коэффициенты (ПС)'!$G$40+$D48*'Коэффициенты (ПС)'!$G$41+$D47*'Коэффициенты (ПС)'!$G$42+$D46*'Коэффициенты (ПС)'!$G$43+$D45*'Коэффициенты (ПС)'!$G$44+$D44*'Коэффициенты (ПС)'!$G$45+$D43*'Коэффициенты (ПС)'!$G$46+$D42*'Коэффициенты (ПС)'!$G$47+$D41*'Коэффициенты (ПС)'!$G$48+$D40*'Коэффициенты (ПС)'!$G$49+$D39*'Коэффициенты (ПС)'!$G$50+$D38*'Коэффициенты (ПС)'!$G$51+$D37*'Коэффициенты (ПС)'!$G$52+$D36*'Коэффициенты (ПС)'!$G$53+$D35*'Коэффициенты (ПС)'!$G$54+$D34*'Коэффициенты (ПС)'!$G$55+$D33*'Коэффициенты (ПС)'!$G$56+$D32*'Коэффициенты (ПС)'!$G$57+$D31*'Коэффициенты (ПС)'!$G$58+$D30*'Коэффициенты (ПС)'!$G$59</f>
        <v>2956.9495618899218</v>
      </c>
      <c r="F82" s="37">
        <f>$D81*'Коэффициенты (БЛ)'!$G$7+Расчет!$D80*'Коэффициенты (БЛ)'!$G$8+$D79*'Коэффициенты (БЛ)'!$G$9+$D78*'Коэффициенты (БЛ)'!$G$10+$D77*'Коэффициенты (БЛ)'!$G$11+$D76*'Коэффициенты (БЛ)'!$G$12+$D75*'Коэффициенты (БЛ)'!$G$13+$D74*'Коэффициенты (БЛ)'!$G$14+$D73*'Коэффициенты (БЛ)'!$G$15+$D72*'Коэффициенты (БЛ)'!$G$16+$D71*'Коэффициенты (БЛ)'!$G$17+$D70*'Коэффициенты (БЛ)'!$G$18+$D69*'Коэффициенты (БЛ)'!$G$19+$D68*'Коэффициенты (БЛ)'!$G$20+$D67*'Коэффициенты (БЛ)'!$G$21+$D66*'Коэффициенты (БЛ)'!$G$22+$D65*'Коэффициенты (БЛ)'!$G$23+$D64*'Коэффициенты (БЛ)'!$G$24+$D63*'Коэффициенты (БЛ)'!$G$25+$D62*'Коэффициенты (БЛ)'!$G$26+$D61*'Коэффициенты (БЛ)'!$G$27+$D60*'Коэффициенты (БЛ)'!$G$28+$D59*'Коэффициенты (БЛ)'!$G$29+$D58*'Коэффициенты (БЛ)'!$G$30+$D57*'Коэффициенты (БЛ)'!$G$31+$D56*'Коэффициенты (БЛ)'!$G$32+$D55*'Коэффициенты (БЛ)'!$G$33+$D54*'Коэффициенты (БЛ)'!$G$34+$D53*'Коэффициенты (БЛ)'!$G$35+$D52*'Коэффициенты (БЛ)'!$G$36+$D51*'Коэффициенты (БЛ)'!$G$37+$D50*'Коэффициенты (БЛ)'!$G$38+$D49*'Коэффициенты (БЛ)'!$G$39+$D48*'Коэффициенты (БЛ)'!$G$40+$D47*'Коэффициенты (БЛ)'!$G$41+$D46*'Коэффициенты (БЛ)'!$G$42+$D45*'Коэффициенты (БЛ)'!$G$43+$D44*'Коэффициенты (БЛ)'!$G$44+$D43*'Коэффициенты (БЛ)'!$G$45+$D42*'Коэффициенты (БЛ)'!$G$46+$D41*'Коэффициенты (БЛ)'!$G$47+$D40*'Коэффициенты (БЛ)'!$G$48+$D39*'Коэффициенты (БЛ)'!$G$49+$D38*'Коэффициенты (БЛ)'!$G$50+$D37*'Коэффициенты (БЛ)'!$G$51+$D36*'Коэффициенты (БЛ)'!$G$52+$D35*'Коэффициенты (БЛ)'!$G$53+$D34*'Коэффициенты (БЛ)'!$G$54+$D33*'Коэффициенты (БЛ)'!$G$55+$D32*'Коэффициенты (БЛ)'!$G$56+$D31*'Коэффициенты (БЛ)'!$G$57+$D30*'Коэффициенты (БЛ)'!$G$58</f>
        <v>77.386906929291825</v>
      </c>
      <c r="G82" s="43">
        <v>1</v>
      </c>
      <c r="H82" s="43">
        <f t="shared" si="4"/>
        <v>2956.9495618899218</v>
      </c>
      <c r="I82" s="43">
        <f t="shared" si="5"/>
        <v>77.386906929291825</v>
      </c>
    </row>
    <row r="83" spans="2:9" ht="18" customHeight="1" x14ac:dyDescent="0.35">
      <c r="B83" s="49"/>
      <c r="C83" s="36">
        <v>4</v>
      </c>
      <c r="D83" s="37">
        <f>'Обработка руды'!E57</f>
        <v>0</v>
      </c>
      <c r="E83" s="37">
        <f>$D82*'Коэффициенты (ПС)'!$G$8+Расчет!$D81*'Коэффициенты (ПС)'!$G$9+$D80*'Коэффициенты (ПС)'!$G$10+$D79*'Коэффициенты (ПС)'!$G$11+$D78*'Коэффициенты (ПС)'!$G$12+$D77*'Коэффициенты (ПС)'!$G$13+$D76*'Коэффициенты (ПС)'!$G$14+$D75*'Коэффициенты (ПС)'!$G$15+$D74*'Коэффициенты (ПС)'!$G$16+$D73*'Коэффициенты (ПС)'!$G$17+$D72*'Коэффициенты (ПС)'!$G$18+$D71*'Коэффициенты (ПС)'!$G$19+$D70*'Коэффициенты (ПС)'!$G$20+$D69*'Коэффициенты (ПС)'!$G$21+$D68*'Коэффициенты (ПС)'!$G$22+$D67*'Коэффициенты (ПС)'!$G$23+$D66*'Коэффициенты (ПС)'!$G$24+$D65*'Коэффициенты (ПС)'!$G$25+$D64*'Коэффициенты (ПС)'!$G$26+$D63*'Коэффициенты (ПС)'!$G$27+$D62*'Коэффициенты (ПС)'!$G$28+$D61*'Коэффициенты (ПС)'!$G$29+$D60*'Коэффициенты (ПС)'!$G$30+$D59*'Коэффициенты (ПС)'!$G$31+$D58*'Коэффициенты (ПС)'!$G$32+$D57*'Коэффициенты (ПС)'!$G$33+$D56*'Коэффициенты (ПС)'!$G$34+$D55*'Коэффициенты (ПС)'!$G$35+$D54*'Коэффициенты (ПС)'!$G$36+$D53*'Коэффициенты (ПС)'!$G$37+$D52*'Коэффициенты (ПС)'!$G$38+$D51*'Коэффициенты (ПС)'!$G$39+$D50*'Коэффициенты (ПС)'!$G$40+$D49*'Коэффициенты (ПС)'!$G$41+$D48*'Коэффициенты (ПС)'!$G$42+$D47*'Коэффициенты (ПС)'!$G$43+$D46*'Коэффициенты (ПС)'!$G$44+$D45*'Коэффициенты (ПС)'!$G$45+$D44*'Коэффициенты (ПС)'!$G$46+$D43*'Коэффициенты (ПС)'!$G$47+$D42*'Коэффициенты (ПС)'!$G$48+$D41*'Коэффициенты (ПС)'!$G$49+$D40*'Коэффициенты (ПС)'!$G$50+$D39*'Коэффициенты (ПС)'!$G$51+$D38*'Коэффициенты (ПС)'!$G$52+$D37*'Коэффициенты (ПС)'!$G$53+$D36*'Коэффициенты (ПС)'!$G$54+$D35*'Коэффициенты (ПС)'!$G$55+$D34*'Коэффициенты (ПС)'!$G$56+$D33*'Коэффициенты (ПС)'!$G$57+$D32*'Коэффициенты (ПС)'!$G$58+$D31*'Коэффициенты (ПС)'!$G$59+$D30*'Коэффициенты (ПС)'!$G$60</f>
        <v>2251.4256427961654</v>
      </c>
      <c r="F83" s="37">
        <f>$D82*'Коэффициенты (БЛ)'!$G$7+Расчет!$D81*'Коэффициенты (БЛ)'!$G$8+$D80*'Коэффициенты (БЛ)'!$G$9+$D79*'Коэффициенты (БЛ)'!$G$10+$D78*'Коэффициенты (БЛ)'!$G$11+$D77*'Коэффициенты (БЛ)'!$G$12+$D76*'Коэффициенты (БЛ)'!$G$13+$D75*'Коэффициенты (БЛ)'!$G$14+$D74*'Коэффициенты (БЛ)'!$G$15+$D73*'Коэффициенты (БЛ)'!$G$16+$D72*'Коэффициенты (БЛ)'!$G$17+$D71*'Коэффициенты (БЛ)'!$G$18+$D70*'Коэффициенты (БЛ)'!$G$19+$D69*'Коэффициенты (БЛ)'!$G$20+$D68*'Коэффициенты (БЛ)'!$G$21+$D67*'Коэффициенты (БЛ)'!$G$22+$D66*'Коэффициенты (БЛ)'!$G$23+$D65*'Коэффициенты (БЛ)'!$G$24+$D64*'Коэффициенты (БЛ)'!$G$25+$D63*'Коэффициенты (БЛ)'!$G$26+$D62*'Коэффициенты (БЛ)'!$G$27+$D61*'Коэффициенты (БЛ)'!$G$28+$D60*'Коэффициенты (БЛ)'!$G$29+$D59*'Коэффициенты (БЛ)'!$G$30+$D58*'Коэффициенты (БЛ)'!$G$31+$D57*'Коэффициенты (БЛ)'!$G$32+$D56*'Коэффициенты (БЛ)'!$G$33+$D55*'Коэффициенты (БЛ)'!$G$34+$D54*'Коэффициенты (БЛ)'!$G$35+$D53*'Коэффициенты (БЛ)'!$G$36+$D52*'Коэффициенты (БЛ)'!$G$37+$D51*'Коэффициенты (БЛ)'!$G$38+$D50*'Коэффициенты (БЛ)'!$G$39+$D49*'Коэффициенты (БЛ)'!$G$40+$D48*'Коэффициенты (БЛ)'!$G$41+$D47*'Коэффициенты (БЛ)'!$G$42+$D46*'Коэффициенты (БЛ)'!$G$43+$D45*'Коэффициенты (БЛ)'!$G$44+$D44*'Коэффициенты (БЛ)'!$G$45+$D43*'Коэффициенты (БЛ)'!$G$46+$D42*'Коэффициенты (БЛ)'!$G$47+$D41*'Коэффициенты (БЛ)'!$G$48+$D40*'Коэффициенты (БЛ)'!$G$49+$D39*'Коэффициенты (БЛ)'!$G$50+$D38*'Коэффициенты (БЛ)'!$G$51+$D37*'Коэффициенты (БЛ)'!$G$52+$D36*'Коэффициенты (БЛ)'!$G$53+$D35*'Коэффициенты (БЛ)'!$G$54+$D34*'Коэффициенты (БЛ)'!$G$55+$D33*'Коэффициенты (БЛ)'!$G$56+$D32*'Коэффициенты (БЛ)'!$G$57+$D31*'Коэффициенты (БЛ)'!$G$58+$D30*'Коэффициенты (БЛ)'!$G$59</f>
        <v>58.92250206862812</v>
      </c>
      <c r="G83" s="43">
        <v>1</v>
      </c>
      <c r="H83" s="43">
        <f t="shared" si="4"/>
        <v>2251.4256427961654</v>
      </c>
      <c r="I83" s="43">
        <f t="shared" si="5"/>
        <v>58.92250206862812</v>
      </c>
    </row>
    <row r="84" spans="2:9" ht="18" customHeight="1" x14ac:dyDescent="0.35">
      <c r="B84" s="49"/>
      <c r="C84" s="36">
        <v>5</v>
      </c>
      <c r="D84" s="37">
        <f>'Обработка руды'!E58</f>
        <v>0</v>
      </c>
      <c r="E84" s="37">
        <f>$D83*'Коэффициенты (ПС)'!$G$8+Расчет!$D82*'Коэффициенты (ПС)'!$G$9+$D81*'Коэффициенты (ПС)'!$G$10+$D80*'Коэффициенты (ПС)'!$G$11+$D79*'Коэффициенты (ПС)'!$G$12+$D78*'Коэффициенты (ПС)'!$G$13+$D77*'Коэффициенты (ПС)'!$G$14+$D76*'Коэффициенты (ПС)'!$G$15+$D75*'Коэффициенты (ПС)'!$G$16+$D74*'Коэффициенты (ПС)'!$G$17+$D73*'Коэффициенты (ПС)'!$G$18+$D72*'Коэффициенты (ПС)'!$G$19+$D71*'Коэффициенты (ПС)'!$G$20+$D70*'Коэффициенты (ПС)'!$G$21+$D69*'Коэффициенты (ПС)'!$G$22+$D68*'Коэффициенты (ПС)'!$G$23+$D67*'Коэффициенты (ПС)'!$G$24+$D66*'Коэффициенты (ПС)'!$G$25+$D65*'Коэффициенты (ПС)'!$G$26+$D64*'Коэффициенты (ПС)'!$G$27+$D63*'Коэффициенты (ПС)'!$G$28+$D62*'Коэффициенты (ПС)'!$G$29+$D61*'Коэффициенты (ПС)'!$G$30+$D60*'Коэффициенты (ПС)'!$G$31+$D59*'Коэффициенты (ПС)'!$G$32+$D58*'Коэффициенты (ПС)'!$G$33+$D57*'Коэффициенты (ПС)'!$G$34+$D56*'Коэффициенты (ПС)'!$G$35+$D55*'Коэффициенты (ПС)'!$G$36+$D54*'Коэффициенты (ПС)'!$G$37+$D53*'Коэффициенты (ПС)'!$G$38+$D52*'Коэффициенты (ПС)'!$G$39+$D51*'Коэффициенты (ПС)'!$G$40+$D50*'Коэффициенты (ПС)'!$G$41+$D49*'Коэффициенты (ПС)'!$G$42+$D48*'Коэффициенты (ПС)'!$G$43+$D47*'Коэффициенты (ПС)'!$G$44+$D46*'Коэффициенты (ПС)'!$G$45+$D45*'Коэффициенты (ПС)'!$G$46+$D44*'Коэффициенты (ПС)'!$G$47+$D43*'Коэффициенты (ПС)'!$G$48+$D42*'Коэффициенты (ПС)'!$G$49+$D41*'Коэффициенты (ПС)'!$G$50+$D40*'Коэффициенты (ПС)'!$G$51+$D39*'Коэффициенты (ПС)'!$G$52+$D38*'Коэффициенты (ПС)'!$G$53+$D37*'Коэффициенты (ПС)'!$G$54+$D36*'Коэффициенты (ПС)'!$G$55+$D35*'Коэффициенты (ПС)'!$G$56+$D34*'Коэффициенты (ПС)'!$G$57+$D33*'Коэффициенты (ПС)'!$G$58+$D32*'Коэффициенты (ПС)'!$G$59+$D31*'Коэффициенты (ПС)'!$G$60+$D30*'Коэффициенты (ПС)'!$G$61</f>
        <v>2147.7759684933949</v>
      </c>
      <c r="F84" s="37">
        <f>$D83*'Коэффициенты (БЛ)'!$G$7+Расчет!$D82*'Коэффициенты (БЛ)'!$G$8+$D81*'Коэффициенты (БЛ)'!$G$9+$D80*'Коэффициенты (БЛ)'!$G$10+$D79*'Коэффициенты (БЛ)'!$G$11+$D78*'Коэффициенты (БЛ)'!$G$12+$D77*'Коэффициенты (БЛ)'!$G$13+$D76*'Коэффициенты (БЛ)'!$G$14+$D75*'Коэффициенты (БЛ)'!$G$15+$D74*'Коэффициенты (БЛ)'!$G$16+$D73*'Коэффициенты (БЛ)'!$G$17+$D72*'Коэффициенты (БЛ)'!$G$18+$D71*'Коэффициенты (БЛ)'!$G$19+$D70*'Коэффициенты (БЛ)'!$G$20+$D69*'Коэффициенты (БЛ)'!$G$21+$D68*'Коэффициенты (БЛ)'!$G$22+$D67*'Коэффициенты (БЛ)'!$G$23+$D66*'Коэффициенты (БЛ)'!$G$24+$D65*'Коэффициенты (БЛ)'!$G$25+$D64*'Коэффициенты (БЛ)'!$G$26+$D63*'Коэффициенты (БЛ)'!$G$27+$D62*'Коэффициенты (БЛ)'!$G$28+$D61*'Коэффициенты (БЛ)'!$G$29+$D60*'Коэффициенты (БЛ)'!$G$30+$D59*'Коэффициенты (БЛ)'!$G$31+$D58*'Коэффициенты (БЛ)'!$G$32+$D57*'Коэффициенты (БЛ)'!$G$33+$D56*'Коэффициенты (БЛ)'!$G$34+$D55*'Коэффициенты (БЛ)'!$G$35+$D54*'Коэффициенты (БЛ)'!$G$36+$D53*'Коэффициенты (БЛ)'!$G$37+$D52*'Коэффициенты (БЛ)'!$G$38+$D51*'Коэффициенты (БЛ)'!$G$39+$D50*'Коэффициенты (БЛ)'!$G$40+$D49*'Коэффициенты (БЛ)'!$G$41+$D48*'Коэффициенты (БЛ)'!$G$42+$D47*'Коэффициенты (БЛ)'!$G$43+$D46*'Коэффициенты (БЛ)'!$G$44+$D45*'Коэффициенты (БЛ)'!$G$45+$D44*'Коэффициенты (БЛ)'!$G$46+$D43*'Коэффициенты (БЛ)'!$G$47+$D42*'Коэффициенты (БЛ)'!$G$48+$D41*'Коэффициенты (БЛ)'!$G$49+$D40*'Коэффициенты (БЛ)'!$G$50+$D39*'Коэффициенты (БЛ)'!$G$51+$D38*'Коэффициенты (БЛ)'!$G$52+$D37*'Коэффициенты (БЛ)'!$G$53+$D36*'Коэффициенты (БЛ)'!$G$54+$D35*'Коэффициенты (БЛ)'!$G$55+$D34*'Коэффициенты (БЛ)'!$G$56+$D33*'Коэффициенты (БЛ)'!$G$57+$D32*'Коэффициенты (БЛ)'!$G$58+$D31*'Коэффициенты (БЛ)'!$G$59+$D30*'Коэффициенты (БЛ)'!$G$60</f>
        <v>56.209866113690381</v>
      </c>
      <c r="G84" s="43">
        <v>1</v>
      </c>
      <c r="H84" s="43">
        <f t="shared" si="4"/>
        <v>2147.7759684933949</v>
      </c>
      <c r="I84" s="43">
        <f t="shared" si="5"/>
        <v>56.209866113690381</v>
      </c>
    </row>
    <row r="85" spans="2:9" ht="18" customHeight="1" x14ac:dyDescent="0.35">
      <c r="B85" s="49"/>
      <c r="C85" s="36">
        <v>6</v>
      </c>
      <c r="D85" s="37">
        <f>'Обработка руды'!E59</f>
        <v>0</v>
      </c>
      <c r="E85" s="37">
        <f>$D84*'Коэффициенты (ПС)'!$G$8+Расчет!$D83*'Коэффициенты (ПС)'!$G$9+$D82*'Коэффициенты (ПС)'!$G$10+$D81*'Коэффициенты (ПС)'!$G$11+$D80*'Коэффициенты (ПС)'!$G$12+$D79*'Коэффициенты (ПС)'!$G$13+$D78*'Коэффициенты (ПС)'!$G$14+$D77*'Коэффициенты (ПС)'!$G$15+$D76*'Коэффициенты (ПС)'!$G$16+$D75*'Коэффициенты (ПС)'!$G$17+$D74*'Коэффициенты (ПС)'!$G$18+$D73*'Коэффициенты (ПС)'!$G$19+$D72*'Коэффициенты (ПС)'!$G$20+$D71*'Коэффициенты (ПС)'!$G$21+$D70*'Коэффициенты (ПС)'!$G$22+$D69*'Коэффициенты (ПС)'!$G$23+$D68*'Коэффициенты (ПС)'!$G$24+$D67*'Коэффициенты (ПС)'!$G$25+$D66*'Коэффициенты (ПС)'!$G$26+$D65*'Коэффициенты (ПС)'!$G$27+$D64*'Коэффициенты (ПС)'!$G$28+$D63*'Коэффициенты (ПС)'!$G$29+$D62*'Коэффициенты (ПС)'!$G$30+$D61*'Коэффициенты (ПС)'!$G$31+$D60*'Коэффициенты (ПС)'!$G$32+$D59*'Коэффициенты (ПС)'!$G$33+$D58*'Коэффициенты (ПС)'!$G$34+$D57*'Коэффициенты (ПС)'!$G$35+$D56*'Коэффициенты (ПС)'!$G$36+$D55*'Коэффициенты (ПС)'!$G$37+$D54*'Коэффициенты (ПС)'!$G$38+$D53*'Коэффициенты (ПС)'!$G$39+$D52*'Коэффициенты (ПС)'!$G$40+$D51*'Коэффициенты (ПС)'!$G$41+$D50*'Коэффициенты (ПС)'!$G$42+$D49*'Коэффициенты (ПС)'!$G$43+$D48*'Коэффициенты (ПС)'!$G$44+$D47*'Коэффициенты (ПС)'!$G$45+$D46*'Коэффициенты (ПС)'!$G$46+$D45*'Коэффициенты (ПС)'!$G$47+$D44*'Коэффициенты (ПС)'!$G$48+$D43*'Коэффициенты (ПС)'!$G$49+$D42*'Коэффициенты (ПС)'!$G$50+$D41*'Коэффициенты (ПС)'!$G$51+$D40*'Коэффициенты (ПС)'!$G$52+$D39*'Коэффициенты (ПС)'!$G$53+$D38*'Коэффициенты (ПС)'!$G$54+$D37*'Коэффициенты (ПС)'!$G$55+$D36*'Коэффициенты (ПС)'!$G$56+$D35*'Коэффициенты (ПС)'!$G$57+$D34*'Коэффициенты (ПС)'!$G$58+$D33*'Коэффициенты (ПС)'!$G$59+$D32*'Коэффициенты (ПС)'!$G$60+$D31*'Коэффициенты (ПС)'!$G$61+$D30*'Коэффициенты (ПС)'!$G$62</f>
        <v>1991.2656519207117</v>
      </c>
      <c r="F85" s="37">
        <f>$D84*'Коэффициенты (БЛ)'!$G$7+Расчет!$D83*'Коэффициенты (БЛ)'!$G$8+$D82*'Коэффициенты (БЛ)'!$G$9+$D81*'Коэффициенты (БЛ)'!$G$10+$D80*'Коэффициенты (БЛ)'!$G$11+$D79*'Коэффициенты (БЛ)'!$G$12+$D78*'Коэффициенты (БЛ)'!$G$13+$D77*'Коэффициенты (БЛ)'!$G$14+$D76*'Коэффициенты (БЛ)'!$G$15+$D75*'Коэффициенты (БЛ)'!$G$16+$D74*'Коэффициенты (БЛ)'!$G$17+$D73*'Коэффициенты (БЛ)'!$G$18+$D72*'Коэффициенты (БЛ)'!$G$19+$D71*'Коэффициенты (БЛ)'!$G$20+$D70*'Коэффициенты (БЛ)'!$G$21+$D69*'Коэффициенты (БЛ)'!$G$22+$D68*'Коэффициенты (БЛ)'!$G$23+$D67*'Коэффициенты (БЛ)'!$G$24+$D66*'Коэффициенты (БЛ)'!$G$25+$D65*'Коэффициенты (БЛ)'!$G$26+$D64*'Коэффициенты (БЛ)'!$G$27+$D63*'Коэффициенты (БЛ)'!$G$28+$D62*'Коэффициенты (БЛ)'!$G$29+$D61*'Коэффициенты (БЛ)'!$G$30+$D60*'Коэффициенты (БЛ)'!$G$31+$D59*'Коэффициенты (БЛ)'!$G$32+$D58*'Коэффициенты (БЛ)'!$G$33+$D57*'Коэффициенты (БЛ)'!$G$34+$D56*'Коэффициенты (БЛ)'!$G$35+$D55*'Коэффициенты (БЛ)'!$G$36+$D54*'Коэффициенты (БЛ)'!$G$37+$D53*'Коэффициенты (БЛ)'!$G$38+$D52*'Коэффициенты (БЛ)'!$G$39+$D51*'Коэффициенты (БЛ)'!$G$40+$D50*'Коэффициенты (БЛ)'!$G$41+$D49*'Коэффициенты (БЛ)'!$G$42+$D48*'Коэффициенты (БЛ)'!$G$43+$D47*'Коэффициенты (БЛ)'!$G$44+$D46*'Коэффициенты (БЛ)'!$G$45+$D45*'Коэффициенты (БЛ)'!$G$46+$D44*'Коэффициенты (БЛ)'!$G$47+$D43*'Коэффициенты (БЛ)'!$G$48+$D42*'Коэффициенты (БЛ)'!$G$49+$D41*'Коэффициенты (БЛ)'!$G$50+$D40*'Коэффициенты (БЛ)'!$G$51+$D39*'Коэффициенты (БЛ)'!$G$52+$D38*'Коэффициенты (БЛ)'!$G$53+$D37*'Коэффициенты (БЛ)'!$G$54+$D36*'Коэффициенты (БЛ)'!$G$55+$D35*'Коэффициенты (БЛ)'!$G$56+$D34*'Коэффициенты (БЛ)'!$G$57+$D33*'Коэффициенты (БЛ)'!$G$58+$D32*'Коэффициенты (БЛ)'!$G$59+$D31*'Коэффициенты (БЛ)'!$G$60+$D30*'Коэффициенты (БЛ)'!$G$61</f>
        <v>52.113803922374977</v>
      </c>
      <c r="G85" s="43">
        <v>1</v>
      </c>
      <c r="H85" s="43">
        <f t="shared" si="4"/>
        <v>1991.2656519207117</v>
      </c>
      <c r="I85" s="43">
        <f t="shared" si="5"/>
        <v>52.113803922374977</v>
      </c>
    </row>
    <row r="86" spans="2:9" ht="18" customHeight="1" x14ac:dyDescent="0.35">
      <c r="B86" s="49"/>
      <c r="C86" s="36">
        <v>7</v>
      </c>
      <c r="D86" s="37">
        <f>'Обработка руды'!E60</f>
        <v>0</v>
      </c>
      <c r="E86" s="37">
        <f>$D85*'Коэффициенты (ПС)'!$G$8+Расчет!$D84*'Коэффициенты (ПС)'!$G$9+$D83*'Коэффициенты (ПС)'!$G$10+$D82*'Коэффициенты (ПС)'!$G$11+$D81*'Коэффициенты (ПС)'!$G$12+$D80*'Коэффициенты (ПС)'!$G$13+$D79*'Коэффициенты (ПС)'!$G$14+$D78*'Коэффициенты (ПС)'!$G$15+$D77*'Коэффициенты (ПС)'!$G$16+$D76*'Коэффициенты (ПС)'!$G$17+$D75*'Коэффициенты (ПС)'!$G$18+$D74*'Коэффициенты (ПС)'!$G$19+$D73*'Коэффициенты (ПС)'!$G$20+$D72*'Коэффициенты (ПС)'!$G$21+$D71*'Коэффициенты (ПС)'!$G$22+$D70*'Коэффициенты (ПС)'!$G$23+$D69*'Коэффициенты (ПС)'!$G$24+$D68*'Коэффициенты (ПС)'!$G$25+$D67*'Коэффициенты (ПС)'!$G$26+$D66*'Коэффициенты (ПС)'!$G$27+$D65*'Коэффициенты (ПС)'!$G$28+$D64*'Коэффициенты (ПС)'!$G$29+$D63*'Коэффициенты (ПС)'!$G$30+$D62*'Коэффициенты (ПС)'!$G$31+$D61*'Коэффициенты (ПС)'!$G$32+$D60*'Коэффициенты (ПС)'!$G$33+$D59*'Коэффициенты (ПС)'!$G$34+$D58*'Коэффициенты (ПС)'!$G$35+$D57*'Коэффициенты (ПС)'!$G$36+$D56*'Коэффициенты (ПС)'!$G$37+$D55*'Коэффициенты (ПС)'!$G$38+$D54*'Коэффициенты (ПС)'!$G$39+$D53*'Коэффициенты (ПС)'!$G$40+$D52*'Коэффициенты (ПС)'!$G$41+$D51*'Коэффициенты (ПС)'!$G$42+$D50*'Коэффициенты (ПС)'!$G$43+$D49*'Коэффициенты (ПС)'!$G$44+$D48*'Коэффициенты (ПС)'!$G$45+$D47*'Коэффициенты (ПС)'!$G$46+$D46*'Коэффициенты (ПС)'!$G$47+$D45*'Коэффициенты (ПС)'!$G$48+$D44*'Коэффициенты (ПС)'!$G$49+$D43*'Коэффициенты (ПС)'!$G$50+$D42*'Коэффициенты (ПС)'!$G$51+$D41*'Коэффициенты (ПС)'!$G$52+$D40*'Коэффициенты (ПС)'!$G$53+$D39*'Коэффициенты (ПС)'!$G$54+$D38*'Коэффициенты (ПС)'!$G$55+$D37*'Коэффициенты (ПС)'!$G$56+$D36*'Коэффициенты (ПС)'!$G$57+$D35*'Коэффициенты (ПС)'!$G$58+$D34*'Коэффициенты (ПС)'!$G$59+$D33*'Коэффициенты (ПС)'!$G$60+$D32*'Коэффициенты (ПС)'!$G$61+$D31*'Коэффициенты (ПС)'!$G$62+$D30*'Коэффициенты (ПС)'!$G$63</f>
        <v>1945.2515590810272</v>
      </c>
      <c r="F86" s="37">
        <f>$D85*'Коэффициенты (БЛ)'!$G$7+Расчет!$D84*'Коэффициенты (БЛ)'!$G$8+$D83*'Коэффициенты (БЛ)'!$G$9+$D82*'Коэффициенты (БЛ)'!$G$10+$D81*'Коэффициенты (БЛ)'!$G$11+$D80*'Коэффициенты (БЛ)'!$G$12+$D79*'Коэффициенты (БЛ)'!$G$13+$D78*'Коэффициенты (БЛ)'!$G$14+$D77*'Коэффициенты (БЛ)'!$G$15+$D76*'Коэффициенты (БЛ)'!$G$16+$D75*'Коэффициенты (БЛ)'!$G$17+$D74*'Коэффициенты (БЛ)'!$G$18+$D73*'Коэффициенты (БЛ)'!$G$19+$D72*'Коэффициенты (БЛ)'!$G$20+$D71*'Коэффициенты (БЛ)'!$G$21+$D70*'Коэффициенты (БЛ)'!$G$22+$D69*'Коэффициенты (БЛ)'!$G$23+$D68*'Коэффициенты (БЛ)'!$G$24+$D67*'Коэффициенты (БЛ)'!$G$25+$D66*'Коэффициенты (БЛ)'!$G$26+$D65*'Коэффициенты (БЛ)'!$G$27+$D64*'Коэффициенты (БЛ)'!$G$28+$D63*'Коэффициенты (БЛ)'!$G$29+$D62*'Коэффициенты (БЛ)'!$G$30+$D61*'Коэффициенты (БЛ)'!$G$31+$D60*'Коэффициенты (БЛ)'!$G$32+$D59*'Коэффициенты (БЛ)'!$G$33+$D58*'Коэффициенты (БЛ)'!$G$34+$D57*'Коэффициенты (БЛ)'!$G$35+$D56*'Коэффициенты (БЛ)'!$G$36+$D55*'Коэффициенты (БЛ)'!$G$37+$D54*'Коэффициенты (БЛ)'!$G$38+$D53*'Коэффициенты (БЛ)'!$G$39+$D52*'Коэффициенты (БЛ)'!$G$40+$D51*'Коэффициенты (БЛ)'!$G$41+$D50*'Коэффициенты (БЛ)'!$G$42+$D49*'Коэффициенты (БЛ)'!$G$43+$D48*'Коэффициенты (БЛ)'!$G$44+$D47*'Коэффициенты (БЛ)'!$G$45+$D46*'Коэффициенты (БЛ)'!$G$46+$D45*'Коэффициенты (БЛ)'!$G$47+$D44*'Коэффициенты (БЛ)'!$G$48+$D43*'Коэффициенты (БЛ)'!$G$49+$D42*'Коэффициенты (БЛ)'!$G$50+$D41*'Коэффициенты (БЛ)'!$G$51+$D40*'Коэффициенты (БЛ)'!$G$52+$D39*'Коэффициенты (БЛ)'!$G$53+$D38*'Коэффициенты (БЛ)'!$G$54+$D37*'Коэффициенты (БЛ)'!$G$55+$D36*'Коэффициенты (БЛ)'!$G$56+$D35*'Коэффициенты (БЛ)'!$G$57+$D34*'Коэффициенты (БЛ)'!$G$58+$D33*'Коэффициенты (БЛ)'!$G$59+$D32*'Коэффициенты (БЛ)'!$G$60+$D31*'Коэффициенты (БЛ)'!$G$61+$D30*'Коэффициенты (БЛ)'!$G$62</f>
        <v>50.909560073945997</v>
      </c>
      <c r="G86" s="43">
        <v>1</v>
      </c>
      <c r="H86" s="43">
        <f t="shared" si="4"/>
        <v>1945.2515590810272</v>
      </c>
      <c r="I86" s="43">
        <f t="shared" si="5"/>
        <v>50.909560073945997</v>
      </c>
    </row>
    <row r="87" spans="2:9" ht="18" customHeight="1" x14ac:dyDescent="0.35">
      <c r="B87" s="49"/>
      <c r="C87" s="36">
        <v>8</v>
      </c>
      <c r="D87" s="37">
        <f>'Обработка руды'!E61</f>
        <v>0</v>
      </c>
      <c r="E87" s="37">
        <f>$D86*'Коэффициенты (ПС)'!$G$8+Расчет!$D85*'Коэффициенты (ПС)'!$G$9+$D84*'Коэффициенты (ПС)'!$G$10+$D83*'Коэффициенты (ПС)'!$G$11+$D82*'Коэффициенты (ПС)'!$G$12+$D81*'Коэффициенты (ПС)'!$G$13+$D80*'Коэффициенты (ПС)'!$G$14+$D79*'Коэффициенты (ПС)'!$G$15+$D78*'Коэффициенты (ПС)'!$G$16+$D77*'Коэффициенты (ПС)'!$G$17+$D76*'Коэффициенты (ПС)'!$G$18+$D75*'Коэффициенты (ПС)'!$G$19+$D74*'Коэффициенты (ПС)'!$G$20+$D73*'Коэффициенты (ПС)'!$G$21+$D72*'Коэффициенты (ПС)'!$G$22+$D71*'Коэффициенты (ПС)'!$G$23+$D70*'Коэффициенты (ПС)'!$G$24+$D69*'Коэффициенты (ПС)'!$G$25+$D68*'Коэффициенты (ПС)'!$G$26+$D67*'Коэффициенты (ПС)'!$G$27+$D66*'Коэффициенты (ПС)'!$G$28+$D65*'Коэффициенты (ПС)'!$G$29+$D64*'Коэффициенты (ПС)'!$G$30+$D63*'Коэффициенты (ПС)'!$G$31+$D62*'Коэффициенты (ПС)'!$G$32+$D61*'Коэффициенты (ПС)'!$G$33+$D60*'Коэффициенты (ПС)'!$G$34+$D59*'Коэффициенты (ПС)'!$G$35+$D58*'Коэффициенты (ПС)'!$G$36+$D57*'Коэффициенты (ПС)'!$G$37+$D56*'Коэффициенты (ПС)'!$G$38+$D55*'Коэффициенты (ПС)'!$G$39+$D54*'Коэффициенты (ПС)'!$G$40+$D53*'Коэффициенты (ПС)'!$G$41+$D52*'Коэффициенты (ПС)'!$G$42+$D51*'Коэффициенты (ПС)'!$G$43+$D50*'Коэффициенты (ПС)'!$G$44+$D49*'Коэффициенты (ПС)'!$G$45+$D48*'Коэффициенты (ПС)'!$G$46+$D47*'Коэффициенты (ПС)'!$G$47+$D46*'Коэффициенты (ПС)'!$G$48+$D45*'Коэффициенты (ПС)'!$G$49+$D44*'Коэффициенты (ПС)'!$G$50+$D43*'Коэффициенты (ПС)'!$G$51+$D42*'Коэффициенты (ПС)'!$G$52+$D41*'Коэффициенты (ПС)'!$G$53+$D40*'Коэффициенты (ПС)'!$G$54+$D39*'Коэффициенты (ПС)'!$G$55+$D38*'Коэффициенты (ПС)'!$G$56+$D37*'Коэффициенты (ПС)'!$G$57+$D36*'Коэффициенты (ПС)'!$G$58+$D35*'Коэффициенты (ПС)'!$G$59+$D34*'Коэффициенты (ПС)'!$G$60+$D33*'Коэффициенты (ПС)'!$G$61+$D32*'Коэффициенты (ПС)'!$G$62+$D31*'Коэффициенты (ПС)'!$G$63+$D30*'Коэффициенты (ПС)'!$G$64</f>
        <v>1837.4356530817279</v>
      </c>
      <c r="F87" s="37">
        <f>$D86*'Коэффициенты (БЛ)'!$G$7+Расчет!$D85*'Коэффициенты (БЛ)'!$G$8+$D84*'Коэффициенты (БЛ)'!$G$9+$D83*'Коэффициенты (БЛ)'!$G$10+$D82*'Коэффициенты (БЛ)'!$G$11+$D81*'Коэффициенты (БЛ)'!$G$12+$D80*'Коэффициенты (БЛ)'!$G$13+$D79*'Коэффициенты (БЛ)'!$G$14+$D78*'Коэффициенты (БЛ)'!$G$15+$D77*'Коэффициенты (БЛ)'!$G$16+$D76*'Коэффициенты (БЛ)'!$G$17+$D75*'Коэффициенты (БЛ)'!$G$18+$D74*'Коэффициенты (БЛ)'!$G$19+$D73*'Коэффициенты (БЛ)'!$G$20+$D72*'Коэффициенты (БЛ)'!$G$21+$D71*'Коэффициенты (БЛ)'!$G$22+$D70*'Коэффициенты (БЛ)'!$G$23+$D69*'Коэффициенты (БЛ)'!$G$24+$D68*'Коэффициенты (БЛ)'!$G$25+$D67*'Коэффициенты (БЛ)'!$G$26+$D66*'Коэффициенты (БЛ)'!$G$27+$D65*'Коэффициенты (БЛ)'!$G$28+$D64*'Коэффициенты (БЛ)'!$G$29+$D63*'Коэффициенты (БЛ)'!$G$30+$D62*'Коэффициенты (БЛ)'!$G$31+$D61*'Коэффициенты (БЛ)'!$G$32+$D60*'Коэффициенты (БЛ)'!$G$33+$D59*'Коэффициенты (БЛ)'!$G$34+$D58*'Коэффициенты (БЛ)'!$G$35+$D57*'Коэффициенты (БЛ)'!$G$36+$D56*'Коэффициенты (БЛ)'!$G$37+$D55*'Коэффициенты (БЛ)'!$G$38+$D54*'Коэффициенты (БЛ)'!$G$39+$D53*'Коэффициенты (БЛ)'!$G$40+$D52*'Коэффициенты (БЛ)'!$G$41+$D51*'Коэффициенты (БЛ)'!$G$42+$D50*'Коэффициенты (БЛ)'!$G$43+$D49*'Коэффициенты (БЛ)'!$G$44+$D48*'Коэффициенты (БЛ)'!$G$45+$D47*'Коэффициенты (БЛ)'!$G$46+$D46*'Коэффициенты (БЛ)'!$G$47+$D45*'Коэффициенты (БЛ)'!$G$48+$D44*'Коэффициенты (БЛ)'!$G$49+$D43*'Коэффициенты (БЛ)'!$G$50+$D42*'Коэффициенты (БЛ)'!$G$51+$D41*'Коэффициенты (БЛ)'!$G$52+$D40*'Коэффициенты (БЛ)'!$G$53+$D39*'Коэффициенты (БЛ)'!$G$54+$D38*'Коэффициенты (БЛ)'!$G$55+$D37*'Коэффициенты (БЛ)'!$G$56+$D36*'Коэффициенты (БЛ)'!$G$57+$D35*'Коэффициенты (БЛ)'!$G$58+$D34*'Коэффициенты (БЛ)'!$G$59+$D33*'Коэффициенты (БЛ)'!$G$60+$D32*'Коэффициенты (БЛ)'!$G$61+$D31*'Коэффициенты (БЛ)'!$G$62+$D30*'Коэффициенты (БЛ)'!$G$63</f>
        <v>48.087888852157498</v>
      </c>
      <c r="G87" s="43">
        <v>1</v>
      </c>
      <c r="H87" s="43">
        <f t="shared" si="4"/>
        <v>1837.4356530817279</v>
      </c>
      <c r="I87" s="43">
        <f t="shared" si="5"/>
        <v>48.087888852157498</v>
      </c>
    </row>
    <row r="88" spans="2:9" ht="18" customHeight="1" x14ac:dyDescent="0.35">
      <c r="B88" s="49"/>
      <c r="C88" s="36">
        <v>9</v>
      </c>
      <c r="D88" s="37">
        <f>'Обработка руды'!E62</f>
        <v>0</v>
      </c>
      <c r="E88" s="37">
        <f>$D87*'Коэффициенты (ПС)'!$G$8+Расчет!$D86*'Коэффициенты (ПС)'!$G$9+$D85*'Коэффициенты (ПС)'!$G$10+$D84*'Коэффициенты (ПС)'!$G$11+$D83*'Коэффициенты (ПС)'!$G$12+$D82*'Коэффициенты (ПС)'!$G$13+$D81*'Коэффициенты (ПС)'!$G$14+$D80*'Коэффициенты (ПС)'!$G$15+$D79*'Коэффициенты (ПС)'!$G$16+$D78*'Коэффициенты (ПС)'!$G$17+$D77*'Коэффициенты (ПС)'!$G$18+$D76*'Коэффициенты (ПС)'!$G$19+$D75*'Коэффициенты (ПС)'!$G$20+$D74*'Коэффициенты (ПС)'!$G$21+$D73*'Коэффициенты (ПС)'!$G$22+$D72*'Коэффициенты (ПС)'!$G$23+$D71*'Коэффициенты (ПС)'!$G$24+$D70*'Коэффициенты (ПС)'!$G$25+$D69*'Коэффициенты (ПС)'!$G$26+$D68*'Коэффициенты (ПС)'!$G$27+$D67*'Коэффициенты (ПС)'!$G$28+$D66*'Коэффициенты (ПС)'!$G$29+$D65*'Коэффициенты (ПС)'!$G$30+$D64*'Коэффициенты (ПС)'!$G$31+$D63*'Коэффициенты (ПС)'!$G$32+$D62*'Коэффициенты (ПС)'!$G$33+$D61*'Коэффициенты (ПС)'!$G$34+$D60*'Коэффициенты (ПС)'!$G$35+$D59*'Коэффициенты (ПС)'!$G$36+$D58*'Коэффициенты (ПС)'!$G$37+$D57*'Коэффициенты (ПС)'!$G$38+$D56*'Коэффициенты (ПС)'!$G$39+$D55*'Коэффициенты (ПС)'!$G$40+$D54*'Коэффициенты (ПС)'!$G$41+$D53*'Коэффициенты (ПС)'!$G$42+$D52*'Коэффициенты (ПС)'!$G$43+$D51*'Коэффициенты (ПС)'!$G$44+$D50*'Коэффициенты (ПС)'!$G$45+$D49*'Коэффициенты (ПС)'!$G$46+$D48*'Коэффициенты (ПС)'!$G$47+$D47*'Коэффициенты (ПС)'!$G$48+$D46*'Коэффициенты (ПС)'!$G$49+$D45*'Коэффициенты (ПС)'!$G$50+$D44*'Коэффициенты (ПС)'!$G$51+$D43*'Коэффициенты (ПС)'!$G$52+$D42*'Коэффициенты (ПС)'!$G$53+$D41*'Коэффициенты (ПС)'!$G$54+$D40*'Коэффициенты (ПС)'!$G$55+$D39*'Коэффициенты (ПС)'!$G$56+$D38*'Коэффициенты (ПС)'!$G$57+$D37*'Коэффициенты (ПС)'!$G$58+$D36*'Коэффициенты (ПС)'!$G$59+$D35*'Коэффициенты (ПС)'!$G$60+$D34*'Коэффициенты (ПС)'!$G$61+$D33*'Коэффициенты (ПС)'!$G$62+$D32*'Коэффициенты (ПС)'!$G$63+$D31*'Коэффициенты (ПС)'!$G$64+$D30*'Коэффициенты (ПС)'!$G$65</f>
        <v>1776.4782711662926</v>
      </c>
      <c r="F88" s="37">
        <f>$D87*'Коэффициенты (БЛ)'!$G$7+Расчет!$D86*'Коэффициенты (БЛ)'!$G$8+$D85*'Коэффициенты (БЛ)'!$G$9+$D84*'Коэффициенты (БЛ)'!$G$10+$D83*'Коэффициенты (БЛ)'!$G$11+$D82*'Коэффициенты (БЛ)'!$G$12+$D81*'Коэффициенты (БЛ)'!$G$13+$D80*'Коэффициенты (БЛ)'!$G$14+$D79*'Коэффициенты (БЛ)'!$G$15+$D78*'Коэффициенты (БЛ)'!$G$16+$D77*'Коэффициенты (БЛ)'!$G$17+$D76*'Коэффициенты (БЛ)'!$G$18+$D75*'Коэффициенты (БЛ)'!$G$19+$D74*'Коэффициенты (БЛ)'!$G$20+$D73*'Коэффициенты (БЛ)'!$G$21+$D72*'Коэффициенты (БЛ)'!$G$22+$D71*'Коэффициенты (БЛ)'!$G$23+$D70*'Коэффициенты (БЛ)'!$G$24+$D69*'Коэффициенты (БЛ)'!$G$25+$D68*'Коэффициенты (БЛ)'!$G$26+$D67*'Коэффициенты (БЛ)'!$G$27+$D66*'Коэффициенты (БЛ)'!$G$28+$D65*'Коэффициенты (БЛ)'!$G$29+$D64*'Коэффициенты (БЛ)'!$G$30+$D63*'Коэффициенты (БЛ)'!$G$31+$D62*'Коэффициенты (БЛ)'!$G$32+$D61*'Коэффициенты (БЛ)'!$G$33+$D60*'Коэффициенты (БЛ)'!$G$34+$D59*'Коэффициенты (БЛ)'!$G$35+$D58*'Коэффициенты (БЛ)'!$G$36+$D57*'Коэффициенты (БЛ)'!$G$37+$D56*'Коэффициенты (БЛ)'!$G$38+$D55*'Коэффициенты (БЛ)'!$G$39+$D54*'Коэффициенты (БЛ)'!$G$40+$D53*'Коэффициенты (БЛ)'!$G$41+$D52*'Коэффициенты (БЛ)'!$G$42+$D51*'Коэффициенты (БЛ)'!$G$43+$D50*'Коэффициенты (БЛ)'!$G$44+$D49*'Коэффициенты (БЛ)'!$G$45+$D48*'Коэффициенты (БЛ)'!$G$46+$D47*'Коэффициенты (БЛ)'!$G$47+$D46*'Коэффициенты (БЛ)'!$G$48+$D45*'Коэффициенты (БЛ)'!$G$49+$D44*'Коэффициенты (БЛ)'!$G$50+$D43*'Коэффициенты (БЛ)'!$G$51+$D42*'Коэффициенты (БЛ)'!$G$52+$D41*'Коэффициенты (БЛ)'!$G$53+$D40*'Коэффициенты (БЛ)'!$G$54+$D39*'Коэффициенты (БЛ)'!$G$55+$D38*'Коэффициенты (БЛ)'!$G$56+$D37*'Коэффициенты (БЛ)'!$G$57+$D36*'Коэффициенты (БЛ)'!$G$58+$D35*'Коэффициенты (БЛ)'!$G$59+$D34*'Коэффициенты (БЛ)'!$G$60+$D33*'Коэффициенты (БЛ)'!$G$61+$D32*'Коэффициенты (БЛ)'!$G$62+$D31*'Коэффициенты (БЛ)'!$G$63+$D30*'Коэффициенты (БЛ)'!$G$64</f>
        <v>46.492561254507066</v>
      </c>
      <c r="G88" s="43">
        <v>1</v>
      </c>
      <c r="H88" s="43">
        <f t="shared" si="4"/>
        <v>1776.4782711662926</v>
      </c>
      <c r="I88" s="43">
        <f t="shared" si="5"/>
        <v>46.492561254507066</v>
      </c>
    </row>
    <row r="89" spans="2:9" ht="18" customHeight="1" x14ac:dyDescent="0.35">
      <c r="B89" s="49"/>
      <c r="C89" s="36">
        <v>10</v>
      </c>
      <c r="D89" s="37">
        <f>'Обработка руды'!E63</f>
        <v>0</v>
      </c>
      <c r="E89" s="37">
        <f>$D88*'Коэффициенты (ПС)'!$G$8+Расчет!$D87*'Коэффициенты (ПС)'!$G$9+$D86*'Коэффициенты (ПС)'!$G$10+$D85*'Коэффициенты (ПС)'!$G$11+$D84*'Коэффициенты (ПС)'!$G$12+$D83*'Коэффициенты (ПС)'!$G$13+$D82*'Коэффициенты (ПС)'!$G$14+$D81*'Коэффициенты (ПС)'!$G$15+$D80*'Коэффициенты (ПС)'!$G$16+$D79*'Коэффициенты (ПС)'!$G$17+$D78*'Коэффициенты (ПС)'!$G$18+$D77*'Коэффициенты (ПС)'!$G$19+$D76*'Коэффициенты (ПС)'!$G$20+$D75*'Коэффициенты (ПС)'!$G$21+$D74*'Коэффициенты (ПС)'!$G$22+$D73*'Коэффициенты (ПС)'!$G$23+$D72*'Коэффициенты (ПС)'!$G$24+$D71*'Коэффициенты (ПС)'!$G$25+$D70*'Коэффициенты (ПС)'!$G$26+$D69*'Коэффициенты (ПС)'!$G$27+$D68*'Коэффициенты (ПС)'!$G$28+$D67*'Коэффициенты (ПС)'!$G$29+$D66*'Коэффициенты (ПС)'!$G$30+$D65*'Коэффициенты (ПС)'!$G$31+$D64*'Коэффициенты (ПС)'!$G$32+$D63*'Коэффициенты (ПС)'!$G$33+$D62*'Коэффициенты (ПС)'!$G$34+$D61*'Коэффициенты (ПС)'!$G$35+$D60*'Коэффициенты (ПС)'!$G$36+$D59*'Коэффициенты (ПС)'!$G$37+$D58*'Коэффициенты (ПС)'!$G$38+$D57*'Коэффициенты (ПС)'!$G$39+$D56*'Коэффициенты (ПС)'!$G$40+$D55*'Коэффициенты (ПС)'!$G$41+$D54*'Коэффициенты (ПС)'!$G$42+$D53*'Коэффициенты (ПС)'!$G$43+$D52*'Коэффициенты (ПС)'!$G$44+$D51*'Коэффициенты (ПС)'!$G$45+$D50*'Коэффициенты (ПС)'!$G$46+$D49*'Коэффициенты (ПС)'!$G$47+$D48*'Коэффициенты (ПС)'!$G$48+$D47*'Коэффициенты (ПС)'!$G$49+$D46*'Коэффициенты (ПС)'!$G$50+$D45*'Коэффициенты (ПС)'!$G$51+$D44*'Коэффициенты (ПС)'!$G$52+$D43*'Коэффициенты (ПС)'!$G$53+$D42*'Коэффициенты (ПС)'!$G$54+$D41*'Коэффициенты (ПС)'!$G$55+$D40*'Коэффициенты (ПС)'!$G$56+$D39*'Коэффициенты (ПС)'!$G$57+$D38*'Коэффициенты (ПС)'!$G$58+$D37*'Коэффициенты (ПС)'!$G$59+$D36*'Коэффициенты (ПС)'!$G$60+$D35*'Коэффициенты (ПС)'!$G$61+$D34*'Коэффициенты (ПС)'!$G$62+$D33*'Коэффициенты (ПС)'!$G$63+$D32*'Коэффициенты (ПС)'!$G$64+$D31*'Коэффициенты (ПС)'!$G$65+$D30*'Коэффициенты (ПС)'!$G$66</f>
        <v>1734.2963436250543</v>
      </c>
      <c r="F89" s="37">
        <f>$D88*'Коэффициенты (БЛ)'!$G$7+Расчет!$D87*'Коэффициенты (БЛ)'!$G$8+$D86*'Коэффициенты (БЛ)'!$G$9+$D85*'Коэффициенты (БЛ)'!$G$10+$D84*'Коэффициенты (БЛ)'!$G$11+$D83*'Коэффициенты (БЛ)'!$G$12+$D82*'Коэффициенты (БЛ)'!$G$13+$D81*'Коэффициенты (БЛ)'!$G$14+$D80*'Коэффициенты (БЛ)'!$G$15+$D79*'Коэффициенты (БЛ)'!$G$16+$D78*'Коэффициенты (БЛ)'!$G$17+$D77*'Коэффициенты (БЛ)'!$G$18+$D76*'Коэффициенты (БЛ)'!$G$19+$D75*'Коэффициенты (БЛ)'!$G$20+$D74*'Коэффициенты (БЛ)'!$G$21+$D73*'Коэффициенты (БЛ)'!$G$22+$D72*'Коэффициенты (БЛ)'!$G$23+$D71*'Коэффициенты (БЛ)'!$G$24+$D70*'Коэффициенты (БЛ)'!$G$25+$D69*'Коэффициенты (БЛ)'!$G$26+$D68*'Коэффициенты (БЛ)'!$G$27+$D67*'Коэффициенты (БЛ)'!$G$28+$D66*'Коэффициенты (БЛ)'!$G$29+$D65*'Коэффициенты (БЛ)'!$G$30+$D64*'Коэффициенты (БЛ)'!$G$31+$D63*'Коэффициенты (БЛ)'!$G$32+$D62*'Коэффициенты (БЛ)'!$G$33+$D61*'Коэффициенты (БЛ)'!$G$34+$D60*'Коэффициенты (БЛ)'!$G$35+$D59*'Коэффициенты (БЛ)'!$G$36+$D58*'Коэффициенты (БЛ)'!$G$37+$D57*'Коэффициенты (БЛ)'!$G$38+$D56*'Коэффициенты (БЛ)'!$G$39+$D55*'Коэффициенты (БЛ)'!$G$40+$D54*'Коэффициенты (БЛ)'!$G$41+$D53*'Коэффициенты (БЛ)'!$G$42+$D52*'Коэффициенты (БЛ)'!$G$43+$D51*'Коэффициенты (БЛ)'!$G$44+$D50*'Коэффициенты (БЛ)'!$G$45+$D49*'Коэффициенты (БЛ)'!$G$46+$D48*'Коэффициенты (БЛ)'!$G$47+$D47*'Коэффициенты (БЛ)'!$G$48+$D46*'Коэффициенты (БЛ)'!$G$49+$D45*'Коэффициенты (БЛ)'!$G$50+$D44*'Коэффициенты (БЛ)'!$G$51+$D43*'Коэффициенты (БЛ)'!$G$52+$D42*'Коэффициенты (БЛ)'!$G$53+$D41*'Коэффициенты (БЛ)'!$G$54+$D40*'Коэффициенты (БЛ)'!$G$55+$D39*'Коэффициенты (БЛ)'!$G$56+$D38*'Коэффициенты (БЛ)'!$G$57+$D37*'Коэффициенты (БЛ)'!$G$58+$D36*'Коэффициенты (БЛ)'!$G$59+$D35*'Коэффициенты (БЛ)'!$G$60+$D34*'Коэффициенты (БЛ)'!$G$61+$D33*'Коэффициенты (БЛ)'!$G$62+$D32*'Коэффициенты (БЛ)'!$G$63+$D31*'Коэффициенты (БЛ)'!$G$64+$D30*'Коэффициенты (БЛ)'!$G$65</f>
        <v>45.388609755704486</v>
      </c>
      <c r="G89" s="43">
        <v>1</v>
      </c>
      <c r="H89" s="43">
        <f t="shared" si="4"/>
        <v>1734.2963436250543</v>
      </c>
      <c r="I89" s="43">
        <f t="shared" si="5"/>
        <v>45.388609755704486</v>
      </c>
    </row>
    <row r="90" spans="2:9" ht="18" customHeight="1" x14ac:dyDescent="0.35">
      <c r="B90" s="49"/>
      <c r="C90" s="36">
        <v>11</v>
      </c>
      <c r="D90" s="37">
        <f>'Обработка руды'!E64</f>
        <v>81940.784570614895</v>
      </c>
      <c r="E90" s="37">
        <f>$D89*'Коэффициенты (ПС)'!$G$8+Расчет!$D88*'Коэффициенты (ПС)'!$G$9+$D87*'Коэффициенты (ПС)'!$G$10+$D86*'Коэффициенты (ПС)'!$G$11+$D85*'Коэффициенты (ПС)'!$G$12+$D84*'Коэффициенты (ПС)'!$G$13+$D83*'Коэффициенты (ПС)'!$G$14+$D82*'Коэффициенты (ПС)'!$G$15+$D81*'Коэффициенты (ПС)'!$G$16+$D80*'Коэффициенты (ПС)'!$G$17+$D79*'Коэффициенты (ПС)'!$G$18+$D78*'Коэффициенты (ПС)'!$G$19+$D77*'Коэффициенты (ПС)'!$G$20+$D76*'Коэффициенты (ПС)'!$G$21+$D75*'Коэффициенты (ПС)'!$G$22+$D74*'Коэффициенты (ПС)'!$G$23+$D73*'Коэффициенты (ПС)'!$G$24+$D72*'Коэффициенты (ПС)'!$G$25+$D71*'Коэффициенты (ПС)'!$G$26+$D70*'Коэффициенты (ПС)'!$G$27+$D69*'Коэффициенты (ПС)'!$G$28+$D68*'Коэффициенты (ПС)'!$G$29+$D67*'Коэффициенты (ПС)'!$G$30+$D66*'Коэффициенты (ПС)'!$G$31+$D65*'Коэффициенты (ПС)'!$G$32+$D64*'Коэффициенты (ПС)'!$G$33+$D63*'Коэффициенты (ПС)'!$G$34+$D62*'Коэффициенты (ПС)'!$G$35+$D61*'Коэффициенты (ПС)'!$G$36+$D60*'Коэффициенты (ПС)'!$G$37+$D59*'Коэффициенты (ПС)'!$G$38+$D58*'Коэффициенты (ПС)'!$G$39+$D57*'Коэффициенты (ПС)'!$G$40+$D56*'Коэффициенты (ПС)'!$G$41+$D55*'Коэффициенты (ПС)'!$G$42+$D54*'Коэффициенты (ПС)'!$G$43+$D53*'Коэффициенты (ПС)'!$G$44+$D52*'Коэффициенты (ПС)'!$G$45+$D51*'Коэффициенты (ПС)'!$G$46+$D50*'Коэффициенты (ПС)'!$G$47+$D49*'Коэффициенты (ПС)'!$G$48+$D48*'Коэффициенты (ПС)'!$G$49+$D47*'Коэффициенты (ПС)'!$G$50+$D46*'Коэффициенты (ПС)'!$G$51+$D45*'Коэффициенты (ПС)'!$G$52+$D44*'Коэффициенты (ПС)'!$G$53+$D43*'Коэффициенты (ПС)'!$G$54+$D42*'Коэффициенты (ПС)'!$G$55+$D41*'Коэффициенты (ПС)'!$G$56+$D40*'Коэффициенты (ПС)'!$G$57+$D39*'Коэффициенты (ПС)'!$G$58+$D38*'Коэффициенты (ПС)'!$G$59+$D37*'Коэффициенты (ПС)'!$G$60+$D36*'Коэффициенты (ПС)'!$G$61+$D35*'Коэффициенты (ПС)'!$G$62+$D34*'Коэффициенты (ПС)'!$G$63+$D33*'Коэффициенты (ПС)'!$G$64+$D32*'Коэффициенты (ПС)'!$G$65+$D31*'Коэффициенты (ПС)'!$G$66+$D30*'Коэффициенты (ПС)'!$G$67</f>
        <v>1660.8700004788948</v>
      </c>
      <c r="F90" s="37">
        <f>$D89*'Коэффициенты (БЛ)'!$G$7+Расчет!$D88*'Коэффициенты (БЛ)'!$G$8+$D87*'Коэффициенты (БЛ)'!$G$9+$D86*'Коэффициенты (БЛ)'!$G$10+$D85*'Коэффициенты (БЛ)'!$G$11+$D84*'Коэффициенты (БЛ)'!$G$12+$D83*'Коэффициенты (БЛ)'!$G$13+$D82*'Коэффициенты (БЛ)'!$G$14+$D81*'Коэффициенты (БЛ)'!$G$15+$D80*'Коэффициенты (БЛ)'!$G$16+$D79*'Коэффициенты (БЛ)'!$G$17+$D78*'Коэффициенты (БЛ)'!$G$18+$D77*'Коэффициенты (БЛ)'!$G$19+$D76*'Коэффициенты (БЛ)'!$G$20+$D75*'Коэффициенты (БЛ)'!$G$21+$D74*'Коэффициенты (БЛ)'!$G$22+$D73*'Коэффициенты (БЛ)'!$G$23+$D72*'Коэффициенты (БЛ)'!$G$24+$D71*'Коэффициенты (БЛ)'!$G$25+$D70*'Коэффициенты (БЛ)'!$G$26+$D69*'Коэффициенты (БЛ)'!$G$27+$D68*'Коэффициенты (БЛ)'!$G$28+$D67*'Коэффициенты (БЛ)'!$G$29+$D66*'Коэффициенты (БЛ)'!$G$30+$D65*'Коэффициенты (БЛ)'!$G$31+$D64*'Коэффициенты (БЛ)'!$G$32+$D63*'Коэффициенты (БЛ)'!$G$33+$D62*'Коэффициенты (БЛ)'!$G$34+$D61*'Коэффициенты (БЛ)'!$G$35+$D60*'Коэффициенты (БЛ)'!$G$36+$D59*'Коэффициенты (БЛ)'!$G$37+$D58*'Коэффициенты (БЛ)'!$G$38+$D57*'Коэффициенты (БЛ)'!$G$39+$D56*'Коэффициенты (БЛ)'!$G$40+$D55*'Коэффициенты (БЛ)'!$G$41+$D54*'Коэффициенты (БЛ)'!$G$42+$D53*'Коэффициенты (БЛ)'!$G$43+$D52*'Коэффициенты (БЛ)'!$G$44+$D51*'Коэффициенты (БЛ)'!$G$45+$D50*'Коэффициенты (БЛ)'!$G$46+$D49*'Коэффициенты (БЛ)'!$G$47+$D48*'Коэффициенты (БЛ)'!$G$48+$D47*'Коэффициенты (БЛ)'!$G$49+$D46*'Коэффициенты (БЛ)'!$G$50+$D45*'Коэффициенты (БЛ)'!$G$51+$D44*'Коэффициенты (БЛ)'!$G$52+$D43*'Коэффициенты (БЛ)'!$G$53+$D42*'Коэффициенты (БЛ)'!$G$54+$D41*'Коэффициенты (БЛ)'!$G$55+$D40*'Коэффициенты (БЛ)'!$G$56+$D39*'Коэффициенты (БЛ)'!$G$57+$D38*'Коэффициенты (БЛ)'!$G$58+$D37*'Коэффициенты (БЛ)'!$G$59+$D36*'Коэффициенты (БЛ)'!$G$60+$D35*'Коэффициенты (БЛ)'!$G$61+$D34*'Коэффициенты (БЛ)'!$G$62+$D33*'Коэффициенты (БЛ)'!$G$63+$D32*'Коэффициенты (БЛ)'!$G$64+$D31*'Коэффициенты (БЛ)'!$G$65+$D30*'Коэффициенты (БЛ)'!$G$66</f>
        <v>43.466954528153735</v>
      </c>
      <c r="G90" s="43">
        <v>1</v>
      </c>
      <c r="H90" s="43">
        <f t="shared" si="4"/>
        <v>1660.8700004788948</v>
      </c>
      <c r="I90" s="43">
        <f t="shared" si="5"/>
        <v>43.466954528153735</v>
      </c>
    </row>
    <row r="91" spans="2:9" ht="18" customHeight="1" x14ac:dyDescent="0.35">
      <c r="B91" s="49"/>
      <c r="C91" s="36">
        <v>12</v>
      </c>
      <c r="D91" s="37">
        <f>'Обработка руды'!E65</f>
        <v>164932.09202034021</v>
      </c>
      <c r="E91" s="37">
        <f>$D90*'Коэффициенты (ПС)'!$G$8+Расчет!$D89*'Коэффициенты (ПС)'!$G$9+$D88*'Коэффициенты (ПС)'!$G$10+$D87*'Коэффициенты (ПС)'!$G$11+$D86*'Коэффициенты (ПС)'!$G$12+$D85*'Коэффициенты (ПС)'!$G$13+$D84*'Коэффициенты (ПС)'!$G$14+$D83*'Коэффициенты (ПС)'!$G$15+$D82*'Коэффициенты (ПС)'!$G$16+$D81*'Коэффициенты (ПС)'!$G$17+$D80*'Коэффициенты (ПС)'!$G$18+$D79*'Коэффициенты (ПС)'!$G$19+$D78*'Коэффициенты (ПС)'!$G$20+$D77*'Коэффициенты (ПС)'!$G$21+$D76*'Коэффициенты (ПС)'!$G$22+$D75*'Коэффициенты (ПС)'!$G$23+$D74*'Коэффициенты (ПС)'!$G$24+$D73*'Коэффициенты (ПС)'!$G$25+$D72*'Коэффициенты (ПС)'!$G$26+$D71*'Коэффициенты (ПС)'!$G$27+$D70*'Коэффициенты (ПС)'!$G$28+$D69*'Коэффициенты (ПС)'!$G$29+$D68*'Коэффициенты (ПС)'!$G$30+$D67*'Коэффициенты (ПС)'!$G$31+$D66*'Коэффициенты (ПС)'!$G$32+$D65*'Коэффициенты (ПС)'!$G$33+$D64*'Коэффициенты (ПС)'!$G$34+$D63*'Коэффициенты (ПС)'!$G$35+$D62*'Коэффициенты (ПС)'!$G$36+$D61*'Коэффициенты (ПС)'!$G$37+$D60*'Коэффициенты (ПС)'!$G$38+$D59*'Коэффициенты (ПС)'!$G$39+$D58*'Коэффициенты (ПС)'!$G$40+$D57*'Коэффициенты (ПС)'!$G$41+$D56*'Коэффициенты (ПС)'!$G$42+$D55*'Коэффициенты (ПС)'!$G$43+$D54*'Коэффициенты (ПС)'!$G$44+$D53*'Коэффициенты (ПС)'!$G$45+$D52*'Коэффициенты (ПС)'!$G$46+$D51*'Коэффициенты (ПС)'!$G$47+$D50*'Коэффициенты (ПС)'!$G$48+$D49*'Коэффициенты (ПС)'!$G$49+$D48*'Коэффициенты (ПС)'!$G$50+$D47*'Коэффициенты (ПС)'!$G$51+$D46*'Коэффициенты (ПС)'!$G$52+$D45*'Коэффициенты (ПС)'!$G$53+$D44*'Коэффициенты (ПС)'!$G$54+$D43*'Коэффициенты (ПС)'!$G$55+$D42*'Коэффициенты (ПС)'!$G$56+$D41*'Коэффициенты (ПС)'!$G$57+$D40*'Коэффициенты (ПС)'!$G$58+$D39*'Коэффициенты (ПС)'!$G$59+$D38*'Коэффициенты (ПС)'!$G$60+$D37*'Коэффициенты (ПС)'!$G$61+$D36*'Коэффициенты (ПС)'!$G$62+$D35*'Коэффициенты (ПС)'!$G$63+$D34*'Коэффициенты (ПС)'!$G$64+$D33*'Коэффициенты (ПС)'!$G$65+$D32*'Коэффициенты (ПС)'!$G$66+$D31*'Коэффициенты (ПС)'!$G$67</f>
        <v>2488.0913114401769</v>
      </c>
      <c r="F91" s="37">
        <f>$D90*'Коэффициенты (БЛ)'!$G$7+Расчет!$D89*'Коэффициенты (БЛ)'!$G$8+$D88*'Коэффициенты (БЛ)'!$G$9+$D87*'Коэффициенты (БЛ)'!$G$10+$D86*'Коэффициенты (БЛ)'!$G$11+$D85*'Коэффициенты (БЛ)'!$G$12+$D84*'Коэффициенты (БЛ)'!$G$13+$D83*'Коэффициенты (БЛ)'!$G$14+$D82*'Коэффициенты (БЛ)'!$G$15+$D81*'Коэффициенты (БЛ)'!$G$16+$D80*'Коэффициенты (БЛ)'!$G$17+$D79*'Коэффициенты (БЛ)'!$G$18+$D78*'Коэффициенты (БЛ)'!$G$19+$D77*'Коэффициенты (БЛ)'!$G$20+$D76*'Коэффициенты (БЛ)'!$G$21+$D75*'Коэффициенты (БЛ)'!$G$22+$D74*'Коэффициенты (БЛ)'!$G$23+$D73*'Коэффициенты (БЛ)'!$G$24+$D72*'Коэффициенты (БЛ)'!$G$25+$D71*'Коэффициенты (БЛ)'!$G$26+$D70*'Коэффициенты (БЛ)'!$G$27+$D69*'Коэффициенты (БЛ)'!$G$28+$D68*'Коэффициенты (БЛ)'!$G$29+$D67*'Коэффициенты (БЛ)'!$G$30+$D66*'Коэффициенты (БЛ)'!$G$31+$D65*'Коэффициенты (БЛ)'!$G$32+$D64*'Коэффициенты (БЛ)'!$G$33+$D63*'Коэффициенты (БЛ)'!$G$34+$D62*'Коэффициенты (БЛ)'!$G$35+$D61*'Коэффициенты (БЛ)'!$G$36+$D60*'Коэффициенты (БЛ)'!$G$37+$D59*'Коэффициенты (БЛ)'!$G$38+$D58*'Коэффициенты (БЛ)'!$G$39+$D57*'Коэффициенты (БЛ)'!$G$40+$D56*'Коэффициенты (БЛ)'!$G$41+$D55*'Коэффициенты (БЛ)'!$G$42+$D54*'Коэффициенты (БЛ)'!$G$43+$D53*'Коэффициенты (БЛ)'!$G$44+$D52*'Коэффициенты (БЛ)'!$G$45+$D51*'Коэффициенты (БЛ)'!$G$46+$D50*'Коэффициенты (БЛ)'!$G$47+$D49*'Коэффициенты (БЛ)'!$G$48+$D48*'Коэффициенты (БЛ)'!$G$49+$D47*'Коэффициенты (БЛ)'!$G$50+$D46*'Коэффициенты (БЛ)'!$G$51+$D45*'Коэффициенты (БЛ)'!$G$52+$D44*'Коэффициенты (БЛ)'!$G$53+$D43*'Коэффициенты (БЛ)'!$G$54+$D42*'Коэффициенты (БЛ)'!$G$55+$D41*'Коэффициенты (БЛ)'!$G$56+$D40*'Коэффициенты (БЛ)'!$G$57+$D39*'Коэффициенты (БЛ)'!$G$58+$D38*'Коэффициенты (БЛ)'!$G$59+$D37*'Коэффициенты (БЛ)'!$G$60+$D36*'Коэффициенты (БЛ)'!$G$61+$D35*'Коэффициенты (БЛ)'!$G$62+$D34*'Коэффициенты (БЛ)'!$G$63+$D33*'Коэффициенты (БЛ)'!$G$64+$D32*'Коэффициенты (БЛ)'!$G$65+$D31*'Коэффициенты (БЛ)'!$G$66</f>
        <v>65.116325699832331</v>
      </c>
      <c r="G91" s="43">
        <v>1</v>
      </c>
      <c r="H91" s="43">
        <f t="shared" si="4"/>
        <v>2488.0913114401769</v>
      </c>
      <c r="I91" s="43">
        <f t="shared" si="5"/>
        <v>65.116325699832331</v>
      </c>
    </row>
    <row r="92" spans="2:9" ht="18" customHeight="1" x14ac:dyDescent="0.35">
      <c r="B92" s="49">
        <v>2031</v>
      </c>
      <c r="C92" s="36">
        <v>1</v>
      </c>
      <c r="D92" s="37">
        <f>'Обработка руды'!E66</f>
        <v>0</v>
      </c>
      <c r="E92" s="37">
        <f>$D91*'Коэффициенты (ПС)'!$G$8+Расчет!$D90*'Коэффициенты (ПС)'!$G$9+$D89*'Коэффициенты (ПС)'!$G$10+$D88*'Коэффициенты (ПС)'!$G$11+$D87*'Коэффициенты (ПС)'!$G$12+$D86*'Коэффициенты (ПС)'!$G$13+$D85*'Коэффициенты (ПС)'!$G$14+$D84*'Коэффициенты (ПС)'!$G$15+$D83*'Коэффициенты (ПС)'!$G$16+$D82*'Коэффициенты (ПС)'!$G$17+$D81*'Коэффициенты (ПС)'!$G$18+$D80*'Коэффициенты (ПС)'!$G$19+$D79*'Коэффициенты (ПС)'!$G$20+$D78*'Коэффициенты (ПС)'!$G$21+$D77*'Коэффициенты (ПС)'!$G$22+$D76*'Коэффициенты (ПС)'!$G$23+$D75*'Коэффициенты (ПС)'!$G$24+$D74*'Коэффициенты (ПС)'!$G$25+$D73*'Коэффициенты (ПС)'!$G$26+$D72*'Коэффициенты (ПС)'!$G$27+$D71*'Коэффициенты (ПС)'!$G$28+$D70*'Коэффициенты (ПС)'!$G$29+$D69*'Коэффициенты (ПС)'!$G$30+$D68*'Коэффициенты (ПС)'!$G$31+$D67*'Коэффициенты (ПС)'!$G$32+$D66*'Коэффициенты (ПС)'!$G$33+$D65*'Коэффициенты (ПС)'!$G$34+$D64*'Коэффициенты (ПС)'!$G$35+$D63*'Коэффициенты (ПС)'!$G$36+$D62*'Коэффициенты (ПС)'!$G$37+$D61*'Коэффициенты (ПС)'!$G$38+$D60*'Коэффициенты (ПС)'!$G$39+$D59*'Коэффициенты (ПС)'!$G$40+$D58*'Коэффициенты (ПС)'!$G$41+$D57*'Коэффициенты (ПС)'!$G$42+$D56*'Коэффициенты (ПС)'!$G$43+$D55*'Коэффициенты (ПС)'!$G$44+$D54*'Коэффициенты (ПС)'!$G$45+$D53*'Коэффициенты (ПС)'!$G$46+$D52*'Коэффициенты (ПС)'!$G$47+$D51*'Коэффициенты (ПС)'!$G$48+$D50*'Коэффициенты (ПС)'!$G$49+$D49*'Коэффициенты (ПС)'!$G$50+$D48*'Коэффициенты (ПС)'!$G$51+$D47*'Коэффициенты (ПС)'!$G$52+$D46*'Коэффициенты (ПС)'!$G$53+$D45*'Коэффициенты (ПС)'!$G$54+$D44*'Коэффициенты (ПС)'!$G$55+$D43*'Коэффициенты (ПС)'!$G$56+$D42*'Коэффициенты (ПС)'!$G$57+$D41*'Коэффициенты (ПС)'!$G$58+$D40*'Коэффициенты (ПС)'!$G$59+$D39*'Коэффициенты (ПС)'!$G$60+$D38*'Коэффициенты (ПС)'!$G$61+$D37*'Коэффициенты (ПС)'!$G$62+$D36*'Коэффициенты (ПС)'!$G$63+$D35*'Коэффициенты (ПС)'!$G$64+$D34*'Коэффициенты (ПС)'!$G$65+$D33*'Коэффициенты (ПС)'!$G$66+$D32*'Коэффициенты (ПС)'!$G$67</f>
        <v>3623.6050116092365</v>
      </c>
      <c r="F92" s="37">
        <f>$D91*'Коэффициенты (БЛ)'!$G$7+Расчет!$D90*'Коэффициенты (БЛ)'!$G$8+$D89*'Коэффициенты (БЛ)'!$G$9+$D88*'Коэффициенты (БЛ)'!$G$10+$D87*'Коэффициенты (БЛ)'!$G$11+$D86*'Коэффициенты (БЛ)'!$G$12+$D85*'Коэффициенты (БЛ)'!$G$13+$D84*'Коэффициенты (БЛ)'!$G$14+$D83*'Коэффициенты (БЛ)'!$G$15+$D82*'Коэффициенты (БЛ)'!$G$16+$D81*'Коэффициенты (БЛ)'!$G$17+$D80*'Коэффициенты (БЛ)'!$G$18+$D79*'Коэффициенты (БЛ)'!$G$19+$D78*'Коэффициенты (БЛ)'!$G$20+$D77*'Коэффициенты (БЛ)'!$G$21+$D76*'Коэффициенты (БЛ)'!$G$22+$D75*'Коэффициенты (БЛ)'!$G$23+$D74*'Коэффициенты (БЛ)'!$G$24+$D73*'Коэффициенты (БЛ)'!$G$25+$D72*'Коэффициенты (БЛ)'!$G$26+$D71*'Коэффициенты (БЛ)'!$G$27+$D70*'Коэффициенты (БЛ)'!$G$28+$D69*'Коэффициенты (БЛ)'!$G$29+$D68*'Коэффициенты (БЛ)'!$G$30+$D67*'Коэффициенты (БЛ)'!$G$31+$D66*'Коэффициенты (БЛ)'!$G$32+$D65*'Коэффициенты (БЛ)'!$G$33+$D64*'Коэффициенты (БЛ)'!$G$34+$D63*'Коэффициенты (БЛ)'!$G$35+$D62*'Коэффициенты (БЛ)'!$G$36+$D61*'Коэффициенты (БЛ)'!$G$37+$D60*'Коэффициенты (БЛ)'!$G$38+$D59*'Коэффициенты (БЛ)'!$G$39+$D58*'Коэффициенты (БЛ)'!$G$40+$D57*'Коэффициенты (БЛ)'!$G$41+$D56*'Коэффициенты (БЛ)'!$G$42+$D55*'Коэффициенты (БЛ)'!$G$43+$D54*'Коэффициенты (БЛ)'!$G$44+$D53*'Коэффициенты (БЛ)'!$G$45+$D52*'Коэффициенты (БЛ)'!$G$46+$D51*'Коэффициенты (БЛ)'!$G$47+$D50*'Коэффициенты (БЛ)'!$G$48+$D49*'Коэффициенты (БЛ)'!$G$49+$D48*'Коэффициенты (БЛ)'!$G$50+$D47*'Коэффициенты (БЛ)'!$G$51+$D46*'Коэффициенты (БЛ)'!$G$52+$D45*'Коэффициенты (БЛ)'!$G$53+$D44*'Коэффициенты (БЛ)'!$G$54+$D43*'Коэффициенты (БЛ)'!$G$55+$D42*'Коэффициенты (БЛ)'!$G$56+$D41*'Коэффициенты (БЛ)'!$G$57+$D40*'Коэффициенты (БЛ)'!$G$58+$D39*'Коэффициенты (БЛ)'!$G$59+$D38*'Коэффициенты (БЛ)'!$G$60+$D37*'Коэффициенты (БЛ)'!$G$61+$D36*'Коэффициенты (БЛ)'!$G$62+$D35*'Коэффициенты (БЛ)'!$G$63+$D34*'Коэффициенты (БЛ)'!$G$64+$D33*'Коэффициенты (БЛ)'!$G$65+$D32*'Коэффициенты (БЛ)'!$G$66</f>
        <v>94.83407745470322</v>
      </c>
      <c r="G92" s="43">
        <v>1</v>
      </c>
      <c r="H92" s="43">
        <f t="shared" si="4"/>
        <v>3623.6050116092365</v>
      </c>
      <c r="I92" s="43">
        <f t="shared" si="5"/>
        <v>94.83407745470322</v>
      </c>
    </row>
    <row r="93" spans="2:9" ht="18" customHeight="1" x14ac:dyDescent="0.35">
      <c r="B93" s="49"/>
      <c r="C93" s="36">
        <v>2</v>
      </c>
      <c r="D93" s="37">
        <f>'Обработка руды'!E67</f>
        <v>73126.869931090201</v>
      </c>
      <c r="E93" s="37">
        <f>$D92*'Коэффициенты (ПС)'!$G$8+Расчет!$D91*'Коэффициенты (ПС)'!$G$9+$D90*'Коэффициенты (ПС)'!$G$10+$D89*'Коэффициенты (ПС)'!$G$11+$D88*'Коэффициенты (ПС)'!$G$12+$D87*'Коэффициенты (ПС)'!$G$13+$D86*'Коэффициенты (ПС)'!$G$14+$D85*'Коэффициенты (ПС)'!$G$15+$D84*'Коэффициенты (ПС)'!$G$16+$D83*'Коэффициенты (ПС)'!$G$17+$D82*'Коэффициенты (ПС)'!$G$18+$D81*'Коэффициенты (ПС)'!$G$19+$D80*'Коэффициенты (ПС)'!$G$20+$D79*'Коэффициенты (ПС)'!$G$21+$D78*'Коэффициенты (ПС)'!$G$22+$D77*'Коэффициенты (ПС)'!$G$23+$D76*'Коэффициенты (ПС)'!$G$24+$D75*'Коэффициенты (ПС)'!$G$25+$D74*'Коэффициенты (ПС)'!$G$26+$D73*'Коэффициенты (ПС)'!$G$27+$D72*'Коэффициенты (ПС)'!$G$28+$D71*'Коэффициенты (ПС)'!$G$29+$D70*'Коэффициенты (ПС)'!$G$30+$D69*'Коэффициенты (ПС)'!$G$31+$D68*'Коэффициенты (ПС)'!$G$32+$D67*'Коэффициенты (ПС)'!$G$33+$D66*'Коэффициенты (ПС)'!$G$34+$D65*'Коэффициенты (ПС)'!$G$35+$D64*'Коэффициенты (ПС)'!$G$36+$D63*'Коэффициенты (ПС)'!$G$37+$D62*'Коэффициенты (ПС)'!$G$38+$D61*'Коэффициенты (ПС)'!$G$39+$D60*'Коэффициенты (ПС)'!$G$40+$D59*'Коэффициенты (ПС)'!$G$41+$D58*'Коэффициенты (ПС)'!$G$42+$D57*'Коэффициенты (ПС)'!$G$43+$D56*'Коэффициенты (ПС)'!$G$44+$D55*'Коэффициенты (ПС)'!$G$45+$D54*'Коэффициенты (ПС)'!$G$46+$D53*'Коэффициенты (ПС)'!$G$47+$D52*'Коэффициенты (ПС)'!$G$48+$D51*'Коэффициенты (ПС)'!$G$49+$D50*'Коэффициенты (ПС)'!$G$50+$D49*'Коэффициенты (ПС)'!$G$51+$D48*'Коэффициенты (ПС)'!$G$52+$D47*'Коэффициенты (ПС)'!$G$53+$D46*'Коэффициенты (ПС)'!$G$54+$D45*'Коэффициенты (ПС)'!$G$55+$D44*'Коэффициенты (ПС)'!$G$56+$D43*'Коэффициенты (ПС)'!$G$57+$D42*'Коэффициенты (ПС)'!$G$58+$D41*'Коэффициенты (ПС)'!$G$59+$D40*'Коэффициенты (ПС)'!$G$60+$D39*'Коэффициенты (ПС)'!$G$61+$D38*'Коэффициенты (ПС)'!$G$62+$D37*'Коэффициенты (ПС)'!$G$63+$D36*'Коэффициенты (ПС)'!$G$64+$D35*'Коэффициенты (ПС)'!$G$65+$D34*'Коэффициенты (ПС)'!$G$66+$D33*'Коэффициенты (ПС)'!$G$67</f>
        <v>2377.8319542926765</v>
      </c>
      <c r="F93" s="37">
        <f>$D92*'Коэффициенты (БЛ)'!$G$7+Расчет!$D91*'Коэффициенты (БЛ)'!$G$8+$D90*'Коэффициенты (БЛ)'!$G$9+$D89*'Коэффициенты (БЛ)'!$G$10+$D88*'Коэффициенты (БЛ)'!$G$11+$D87*'Коэффициенты (БЛ)'!$G$12+$D86*'Коэффициенты (БЛ)'!$G$13+$D85*'Коэффициенты (БЛ)'!$G$14+$D84*'Коэффициенты (БЛ)'!$G$15+$D83*'Коэффициенты (БЛ)'!$G$16+$D82*'Коэффициенты (БЛ)'!$G$17+$D81*'Коэффициенты (БЛ)'!$G$18+$D80*'Коэффициенты (БЛ)'!$G$19+$D79*'Коэффициенты (БЛ)'!$G$20+$D78*'Коэффициенты (БЛ)'!$G$21+$D77*'Коэффициенты (БЛ)'!$G$22+$D76*'Коэффициенты (БЛ)'!$G$23+$D75*'Коэффициенты (БЛ)'!$G$24+$D74*'Коэффициенты (БЛ)'!$G$25+$D73*'Коэффициенты (БЛ)'!$G$26+$D72*'Коэффициенты (БЛ)'!$G$27+$D71*'Коэффициенты (БЛ)'!$G$28+$D70*'Коэффициенты (БЛ)'!$G$29+$D69*'Коэффициенты (БЛ)'!$G$30+$D68*'Коэффициенты (БЛ)'!$G$31+$D67*'Коэффициенты (БЛ)'!$G$32+$D66*'Коэффициенты (БЛ)'!$G$33+$D65*'Коэффициенты (БЛ)'!$G$34+$D64*'Коэффициенты (БЛ)'!$G$35+$D63*'Коэффициенты (БЛ)'!$G$36+$D62*'Коэффициенты (БЛ)'!$G$37+$D61*'Коэффициенты (БЛ)'!$G$38+$D60*'Коэффициенты (БЛ)'!$G$39+$D59*'Коэффициенты (БЛ)'!$G$40+$D58*'Коэффициенты (БЛ)'!$G$41+$D57*'Коэффициенты (БЛ)'!$G$42+$D56*'Коэффициенты (БЛ)'!$G$43+$D55*'Коэффициенты (БЛ)'!$G$44+$D54*'Коэффициенты (БЛ)'!$G$45+$D53*'Коэффициенты (БЛ)'!$G$46+$D52*'Коэффициенты (БЛ)'!$G$47+$D51*'Коэффициенты (БЛ)'!$G$48+$D50*'Коэффициенты (БЛ)'!$G$49+$D49*'Коэффициенты (БЛ)'!$G$50+$D48*'Коэффициенты (БЛ)'!$G$51+$D47*'Коэффициенты (БЛ)'!$G$52+$D46*'Коэффициенты (БЛ)'!$G$53+$D45*'Коэффициенты (БЛ)'!$G$54+$D44*'Коэффициенты (БЛ)'!$G$55+$D43*'Коэффициенты (БЛ)'!$G$56+$D42*'Коэффициенты (БЛ)'!$G$57+$D41*'Коэффициенты (БЛ)'!$G$58+$D40*'Коэффициенты (БЛ)'!$G$59+$D39*'Коэффициенты (БЛ)'!$G$60+$D38*'Коэффициенты (БЛ)'!$G$61+$D37*'Коэффициенты (БЛ)'!$G$62+$D36*'Коэффициенты (БЛ)'!$G$63+$D35*'Коэффициенты (БЛ)'!$G$64+$D34*'Коэффициенты (БЛ)'!$G$65+$D33*'Коэффициенты (БЛ)'!$G$66</f>
        <v>62.230706438811396</v>
      </c>
      <c r="G93" s="43">
        <v>1</v>
      </c>
      <c r="H93" s="43">
        <f t="shared" si="4"/>
        <v>2377.8319542926765</v>
      </c>
      <c r="I93" s="43">
        <f t="shared" si="5"/>
        <v>62.230706438811396</v>
      </c>
    </row>
    <row r="94" spans="2:9" ht="18" customHeight="1" x14ac:dyDescent="0.35">
      <c r="B94" s="49"/>
      <c r="C94" s="36">
        <v>3</v>
      </c>
      <c r="D94" s="37">
        <f>'Обработка руды'!E68</f>
        <v>0</v>
      </c>
      <c r="E94" s="37">
        <f>$D93*'Коэффициенты (ПС)'!$G$8+Расчет!$D92*'Коэффициенты (ПС)'!$G$9+$D91*'Коэффициенты (ПС)'!$G$10+$D90*'Коэффициенты (ПС)'!$G$11+$D89*'Коэффициенты (ПС)'!$G$12+$D88*'Коэффициенты (ПС)'!$G$13+$D87*'Коэффициенты (ПС)'!$G$14+$D86*'Коэффициенты (ПС)'!$G$15+$D85*'Коэффициенты (ПС)'!$G$16+$D84*'Коэффициенты (ПС)'!$G$17+$D83*'Коэффициенты (ПС)'!$G$18+$D82*'Коэффициенты (ПС)'!$G$19+$D81*'Коэффициенты (ПС)'!$G$20+$D80*'Коэффициенты (ПС)'!$G$21+$D79*'Коэффициенты (ПС)'!$G$22+$D78*'Коэффициенты (ПС)'!$G$23+$D77*'Коэффициенты (ПС)'!$G$24+$D76*'Коэффициенты (ПС)'!$G$25+$D75*'Коэффициенты (ПС)'!$G$26+$D74*'Коэффициенты (ПС)'!$G$27+$D73*'Коэффициенты (ПС)'!$G$28+$D72*'Коэффициенты (ПС)'!$G$29+$D71*'Коэффициенты (ПС)'!$G$30+$D70*'Коэффициенты (ПС)'!$G$31+$D69*'Коэффициенты (ПС)'!$G$32+$D68*'Коэффициенты (ПС)'!$G$33+$D67*'Коэффициенты (ПС)'!$G$34+$D66*'Коэффициенты (ПС)'!$G$35+$D65*'Коэффициенты (ПС)'!$G$36+$D64*'Коэффициенты (ПС)'!$G$37+$D63*'Коэффициенты (ПС)'!$G$38+$D62*'Коэффициенты (ПС)'!$G$39+$D61*'Коэффициенты (ПС)'!$G$40+$D60*'Коэффициенты (ПС)'!$G$41+$D59*'Коэффициенты (ПС)'!$G$42+$D58*'Коэффициенты (ПС)'!$G$43+$D57*'Коэффициенты (ПС)'!$G$44+$D56*'Коэффициенты (ПС)'!$G$45+$D55*'Коэффициенты (ПС)'!$G$46+$D54*'Коэффициенты (ПС)'!$G$47+$D53*'Коэффициенты (ПС)'!$G$48+$D52*'Коэффициенты (ПС)'!$G$49+$D51*'Коэффициенты (ПС)'!$G$50+$D50*'Коэффициенты (ПС)'!$G$51+$D49*'Коэффициенты (ПС)'!$G$52+$D48*'Коэффициенты (ПС)'!$G$53+$D47*'Коэффициенты (ПС)'!$G$54+$D46*'Коэффициенты (ПС)'!$G$55+$D45*'Коэффициенты (ПС)'!$G$56+$D44*'Коэффициенты (ПС)'!$G$57+$D43*'Коэффициенты (ПС)'!$G$58+$D42*'Коэффициенты (ПС)'!$G$59+$D41*'Коэффициенты (ПС)'!$G$60+$D40*'Коэффициенты (ПС)'!$G$61+$D39*'Коэффициенты (ПС)'!$G$62+$D38*'Коэффициенты (ПС)'!$G$63+$D37*'Коэффициенты (ПС)'!$G$64+$D36*'Коэффициенты (ПС)'!$G$65+$D35*'Коэффициенты (ПС)'!$G$66+$D34*'Коэффициенты (ПС)'!$G$67</f>
        <v>3012.0484389348389</v>
      </c>
      <c r="F94" s="37">
        <f>$D93*'Коэффициенты (БЛ)'!$G$7+Расчет!$D92*'Коэффициенты (БЛ)'!$G$8+$D91*'Коэффициенты (БЛ)'!$G$9+$D90*'Коэффициенты (БЛ)'!$G$10+$D89*'Коэффициенты (БЛ)'!$G$11+$D88*'Коэффициенты (БЛ)'!$G$12+$D87*'Коэффициенты (БЛ)'!$G$13+$D86*'Коэффициенты (БЛ)'!$G$14+$D85*'Коэффициенты (БЛ)'!$G$15+$D84*'Коэффициенты (БЛ)'!$G$16+$D83*'Коэффициенты (БЛ)'!$G$17+$D82*'Коэффициенты (БЛ)'!$G$18+$D81*'Коэффициенты (БЛ)'!$G$19+$D80*'Коэффициенты (БЛ)'!$G$20+$D79*'Коэффициенты (БЛ)'!$G$21+$D78*'Коэффициенты (БЛ)'!$G$22+$D77*'Коэффициенты (БЛ)'!$G$23+$D76*'Коэффициенты (БЛ)'!$G$24+$D75*'Коэффициенты (БЛ)'!$G$25+$D74*'Коэффициенты (БЛ)'!$G$26+$D73*'Коэффициенты (БЛ)'!$G$27+$D72*'Коэффициенты (БЛ)'!$G$28+$D71*'Коэффициенты (БЛ)'!$G$29+$D70*'Коэффициенты (БЛ)'!$G$30+$D69*'Коэффициенты (БЛ)'!$G$31+$D68*'Коэффициенты (БЛ)'!$G$32+$D67*'Коэффициенты (БЛ)'!$G$33+$D66*'Коэффициенты (БЛ)'!$G$34+$D65*'Коэффициенты (БЛ)'!$G$35+$D64*'Коэффициенты (БЛ)'!$G$36+$D63*'Коэффициенты (БЛ)'!$G$37+$D62*'Коэффициенты (БЛ)'!$G$38+$D61*'Коэффициенты (БЛ)'!$G$39+$D60*'Коэффициенты (БЛ)'!$G$40+$D59*'Коэффициенты (БЛ)'!$G$41+$D58*'Коэффициенты (БЛ)'!$G$42+$D57*'Коэффициенты (БЛ)'!$G$43+$D56*'Коэффициенты (БЛ)'!$G$44+$D55*'Коэффициенты (БЛ)'!$G$45+$D54*'Коэффициенты (БЛ)'!$G$46+$D53*'Коэффициенты (БЛ)'!$G$47+$D52*'Коэффициенты (БЛ)'!$G$48+$D51*'Коэффициенты (БЛ)'!$G$49+$D50*'Коэффициенты (БЛ)'!$G$50+$D49*'Коэффициенты (БЛ)'!$G$51+$D48*'Коэффициенты (БЛ)'!$G$52+$D47*'Коэффициенты (БЛ)'!$G$53+$D46*'Коэффициенты (БЛ)'!$G$54+$D45*'Коэффициенты (БЛ)'!$G$55+$D44*'Коэффициенты (БЛ)'!$G$56+$D43*'Коэффициенты (БЛ)'!$G$57+$D42*'Коэффициенты (БЛ)'!$G$58+$D41*'Коэффициенты (БЛ)'!$G$59+$D40*'Коэффициенты (БЛ)'!$G$60+$D39*'Коэффициенты (БЛ)'!$G$61+$D38*'Коэффициенты (БЛ)'!$G$62+$D37*'Коэффициенты (БЛ)'!$G$63+$D36*'Коэффициенты (БЛ)'!$G$64+$D35*'Коэффициенты (БЛ)'!$G$65+$D34*'Коэффициенты (БЛ)'!$G$66</f>
        <v>78.828910446950175</v>
      </c>
      <c r="G94" s="43">
        <v>1</v>
      </c>
      <c r="H94" s="43">
        <f t="shared" si="4"/>
        <v>3012.0484389348389</v>
      </c>
      <c r="I94" s="43">
        <f t="shared" si="5"/>
        <v>78.828910446950175</v>
      </c>
    </row>
    <row r="95" spans="2:9" ht="18" customHeight="1" x14ac:dyDescent="0.35">
      <c r="B95" s="49"/>
      <c r="C95" s="36">
        <v>4</v>
      </c>
      <c r="D95" s="37">
        <f>'Обработка руды'!E69</f>
        <v>0</v>
      </c>
      <c r="E95" s="37">
        <f>$D94*'Коэффициенты (ПС)'!$G$8+Расчет!$D93*'Коэффициенты (ПС)'!$G$9+$D92*'Коэффициенты (ПС)'!$G$10+$D91*'Коэффициенты (ПС)'!$G$11+$D90*'Коэффициенты (ПС)'!$G$12+$D89*'Коэффициенты (ПС)'!$G$13+$D88*'Коэффициенты (ПС)'!$G$14+$D87*'Коэффициенты (ПС)'!$G$15+$D86*'Коэффициенты (ПС)'!$G$16+$D85*'Коэффициенты (ПС)'!$G$17+$D84*'Коэффициенты (ПС)'!$G$18+$D83*'Коэффициенты (ПС)'!$G$19+$D82*'Коэффициенты (ПС)'!$G$20+$D81*'Коэффициенты (ПС)'!$G$21+$D80*'Коэффициенты (ПС)'!$G$22+$D79*'Коэффициенты (ПС)'!$G$23+$D78*'Коэффициенты (ПС)'!$G$24+$D77*'Коэффициенты (ПС)'!$G$25+$D76*'Коэффициенты (ПС)'!$G$26+$D75*'Коэффициенты (ПС)'!$G$27+$D74*'Коэффициенты (ПС)'!$G$28+$D73*'Коэффициенты (ПС)'!$G$29+$D72*'Коэффициенты (ПС)'!$G$30+$D71*'Коэффициенты (ПС)'!$G$31+$D70*'Коэффициенты (ПС)'!$G$32+$D69*'Коэффициенты (ПС)'!$G$33+$D68*'Коэффициенты (ПС)'!$G$34+$D67*'Коэффициенты (ПС)'!$G$35+$D66*'Коэффициенты (ПС)'!$G$36+$D65*'Коэффициенты (ПС)'!$G$37+$D64*'Коэффициенты (ПС)'!$G$38+$D63*'Коэффициенты (ПС)'!$G$39+$D62*'Коэффициенты (ПС)'!$G$40+$D61*'Коэффициенты (ПС)'!$G$41+$D60*'Коэффициенты (ПС)'!$G$42+$D59*'Коэффициенты (ПС)'!$G$43+$D58*'Коэффициенты (ПС)'!$G$44+$D57*'Коэффициенты (ПС)'!$G$45+$D56*'Коэффициенты (ПС)'!$G$46+$D55*'Коэффициенты (ПС)'!$G$47+$D54*'Коэффициенты (ПС)'!$G$48+$D53*'Коэффициенты (ПС)'!$G$49+$D52*'Коэффициенты (ПС)'!$G$50+$D51*'Коэффициенты (ПС)'!$G$51+$D50*'Коэффициенты (ПС)'!$G$52+$D49*'Коэффициенты (ПС)'!$G$53+$D48*'Коэффициенты (ПС)'!$G$54+$D47*'Коэффициенты (ПС)'!$G$55+$D46*'Коэффициенты (ПС)'!$G$56+$D45*'Коэффициенты (ПС)'!$G$57+$D44*'Коэффициенты (ПС)'!$G$58+$D43*'Коэффициенты (ПС)'!$G$59+$D42*'Коэффициенты (ПС)'!$G$60+$D41*'Коэффициенты (ПС)'!$G$61+$D40*'Коэффициенты (ПС)'!$G$62+$D39*'Коэффициенты (ПС)'!$G$63+$D38*'Коэффициенты (ПС)'!$G$64+$D37*'Коэффициенты (ПС)'!$G$65+$D36*'Коэффициенты (ПС)'!$G$66+$D35*'Коэффициенты (ПС)'!$G$67</f>
        <v>2302.5258216982552</v>
      </c>
      <c r="F95" s="37">
        <f>$D94*'Коэффициенты (БЛ)'!$G$7+Расчет!$D93*'Коэффициенты (БЛ)'!$G$8+$D92*'Коэффициенты (БЛ)'!$G$9+$D91*'Коэффициенты (БЛ)'!$G$10+$D90*'Коэффициенты (БЛ)'!$G$11+$D89*'Коэффициенты (БЛ)'!$G$12+$D88*'Коэффициенты (БЛ)'!$G$13+$D87*'Коэффициенты (БЛ)'!$G$14+$D86*'Коэффициенты (БЛ)'!$G$15+$D85*'Коэффициенты (БЛ)'!$G$16+$D84*'Коэффициенты (БЛ)'!$G$17+$D83*'Коэффициенты (БЛ)'!$G$18+$D82*'Коэффициенты (БЛ)'!$G$19+$D81*'Коэффициенты (БЛ)'!$G$20+$D80*'Коэффициенты (БЛ)'!$G$21+$D79*'Коэффициенты (БЛ)'!$G$22+$D78*'Коэффициенты (БЛ)'!$G$23+$D77*'Коэффициенты (БЛ)'!$G$24+$D76*'Коэффициенты (БЛ)'!$G$25+$D75*'Коэффициенты (БЛ)'!$G$26+$D74*'Коэффициенты (БЛ)'!$G$27+$D73*'Коэффициенты (БЛ)'!$G$28+$D72*'Коэффициенты (БЛ)'!$G$29+$D71*'Коэффициенты (БЛ)'!$G$30+$D70*'Коэффициенты (БЛ)'!$G$31+$D69*'Коэффициенты (БЛ)'!$G$32+$D68*'Коэффициенты (БЛ)'!$G$33+$D67*'Коэффициенты (БЛ)'!$G$34+$D66*'Коэффициенты (БЛ)'!$G$35+$D65*'Коэффициенты (БЛ)'!$G$36+$D64*'Коэффициенты (БЛ)'!$G$37+$D63*'Коэффициенты (БЛ)'!$G$38+$D62*'Коэффициенты (БЛ)'!$G$39+$D61*'Коэффициенты (БЛ)'!$G$40+$D60*'Коэффициенты (БЛ)'!$G$41+$D59*'Коэффициенты (БЛ)'!$G$42+$D58*'Коэффициенты (БЛ)'!$G$43+$D57*'Коэффициенты (БЛ)'!$G$44+$D56*'Коэффициенты (БЛ)'!$G$45+$D55*'Коэффициенты (БЛ)'!$G$46+$D54*'Коэффициенты (БЛ)'!$G$47+$D53*'Коэффициенты (БЛ)'!$G$48+$D52*'Коэффициенты (БЛ)'!$G$49+$D51*'Коэффициенты (БЛ)'!$G$50+$D50*'Коэффициенты (БЛ)'!$G$51+$D49*'Коэффициенты (БЛ)'!$G$52+$D48*'Коэффициенты (БЛ)'!$G$53+$D47*'Коэффициенты (БЛ)'!$G$54+$D46*'Коэффициенты (БЛ)'!$G$55+$D45*'Коэффициенты (БЛ)'!$G$56+$D44*'Коэффициенты (БЛ)'!$G$57+$D43*'Коэффициенты (БЛ)'!$G$58+$D42*'Коэффициенты (БЛ)'!$G$59+$D41*'Коэффициенты (БЛ)'!$G$60+$D40*'Коэффициенты (БЛ)'!$G$61+$D39*'Коэффициенты (БЛ)'!$G$62+$D38*'Коэффициенты (БЛ)'!$G$63+$D37*'Коэффициенты (БЛ)'!$G$64+$D36*'Коэффициенты (БЛ)'!$G$65+$D35*'Коэффициенты (БЛ)'!$G$66</f>
        <v>60.259854872927782</v>
      </c>
      <c r="G95" s="43">
        <v>1</v>
      </c>
      <c r="H95" s="43">
        <f t="shared" ref="H95:H126" si="6">E95*G95</f>
        <v>2302.5258216982552</v>
      </c>
      <c r="I95" s="43">
        <f t="shared" ref="I95:I126" si="7">F95*G95</f>
        <v>60.259854872927782</v>
      </c>
    </row>
    <row r="96" spans="2:9" ht="18" customHeight="1" x14ac:dyDescent="0.35">
      <c r="B96" s="49"/>
      <c r="C96" s="36">
        <v>5</v>
      </c>
      <c r="D96" s="37">
        <f>'Обработка руды'!E70</f>
        <v>0</v>
      </c>
      <c r="E96" s="37">
        <f>$D95*'Коэффициенты (ПС)'!$G$8+Расчет!$D94*'Коэффициенты (ПС)'!$G$9+$D93*'Коэффициенты (ПС)'!$G$10+$D92*'Коэффициенты (ПС)'!$G$11+$D91*'Коэффициенты (ПС)'!$G$12+$D90*'Коэффициенты (ПС)'!$G$13+$D89*'Коэффициенты (ПС)'!$G$14+$D88*'Коэффициенты (ПС)'!$G$15+$D87*'Коэффициенты (ПС)'!$G$16+$D86*'Коэффициенты (ПС)'!$G$17+$D85*'Коэффициенты (ПС)'!$G$18+$D84*'Коэффициенты (ПС)'!$G$19+$D83*'Коэффициенты (ПС)'!$G$20+$D82*'Коэффициенты (ПС)'!$G$21+$D81*'Коэффициенты (ПС)'!$G$22+$D80*'Коэффициенты (ПС)'!$G$23+$D79*'Коэффициенты (ПС)'!$G$24+$D78*'Коэффициенты (ПС)'!$G$25+$D77*'Коэффициенты (ПС)'!$G$26+$D76*'Коэффициенты (ПС)'!$G$27+$D75*'Коэффициенты (ПС)'!$G$28+$D74*'Коэффициенты (ПС)'!$G$29+$D73*'Коэффициенты (ПС)'!$G$30+$D72*'Коэффициенты (ПС)'!$G$31+$D71*'Коэффициенты (ПС)'!$G$32+$D70*'Коэффициенты (ПС)'!$G$33+$D69*'Коэффициенты (ПС)'!$G$34+$D68*'Коэффициенты (ПС)'!$G$35+$D67*'Коэффициенты (ПС)'!$G$36+$D66*'Коэффициенты (ПС)'!$G$37+$D65*'Коэффициенты (ПС)'!$G$38+$D64*'Коэффициенты (ПС)'!$G$39+$D63*'Коэффициенты (ПС)'!$G$40+$D62*'Коэффициенты (ПС)'!$G$41+$D61*'Коэффициенты (ПС)'!$G$42+$D60*'Коэффициенты (ПС)'!$G$43+$D59*'Коэффициенты (ПС)'!$G$44+$D58*'Коэффициенты (ПС)'!$G$45+$D57*'Коэффициенты (ПС)'!$G$46+$D56*'Коэффициенты (ПС)'!$G$47+$D55*'Коэффициенты (ПС)'!$G$48+$D54*'Коэффициенты (ПС)'!$G$49+$D53*'Коэффициенты (ПС)'!$G$50+$D52*'Коэффициенты (ПС)'!$G$51+$D51*'Коэффициенты (ПС)'!$G$52+$D50*'Коэффициенты (ПС)'!$G$53+$D49*'Коэффициенты (ПС)'!$G$54+$D48*'Коэффициенты (ПС)'!$G$55+$D47*'Коэффициенты (ПС)'!$G$56+$D46*'Коэффициенты (ПС)'!$G$57+$D45*'Коэффициенты (ПС)'!$G$58+$D44*'Коэффициенты (ПС)'!$G$59+$D43*'Коэффициенты (ПС)'!$G$60+$D42*'Коэффициенты (ПС)'!$G$61+$D41*'Коэффициенты (ПС)'!$G$62+$D40*'Коэффициенты (ПС)'!$G$63+$D39*'Коэффициенты (ПС)'!$G$64+$D38*'Коэффициенты (ПС)'!$G$65+$D37*'Коэффициенты (ПС)'!$G$66+$D36*'Коэффициенты (ПС)'!$G$67</f>
        <v>2201.8505657622977</v>
      </c>
      <c r="F96" s="37">
        <f>$D95*'Коэффициенты (БЛ)'!$G$7+Расчет!$D94*'Коэффициенты (БЛ)'!$G$8+$D93*'Коэффициенты (БЛ)'!$G$9+$D92*'Коэффициенты (БЛ)'!$G$10+$D91*'Коэффициенты (БЛ)'!$G$11+$D90*'Коэффициенты (БЛ)'!$G$12+$D89*'Коэффициенты (БЛ)'!$G$13+$D88*'Коэффициенты (БЛ)'!$G$14+$D87*'Коэффициенты (БЛ)'!$G$15+$D86*'Коэффициенты (БЛ)'!$G$16+$D85*'Коэффициенты (БЛ)'!$G$17+$D84*'Коэффициенты (БЛ)'!$G$18+$D83*'Коэффициенты (БЛ)'!$G$19+$D82*'Коэффициенты (БЛ)'!$G$20+$D81*'Коэффициенты (БЛ)'!$G$21+$D80*'Коэффициенты (БЛ)'!$G$22+$D79*'Коэффициенты (БЛ)'!$G$23+$D78*'Коэффициенты (БЛ)'!$G$24+$D77*'Коэффициенты (БЛ)'!$G$25+$D76*'Коэффициенты (БЛ)'!$G$26+$D75*'Коэффициенты (БЛ)'!$G$27+$D74*'Коэффициенты (БЛ)'!$G$28+$D73*'Коэффициенты (БЛ)'!$G$29+$D72*'Коэффициенты (БЛ)'!$G$30+$D71*'Коэффициенты (БЛ)'!$G$31+$D70*'Коэффициенты (БЛ)'!$G$32+$D69*'Коэффициенты (БЛ)'!$G$33+$D68*'Коэффициенты (БЛ)'!$G$34+$D67*'Коэффициенты (БЛ)'!$G$35+$D66*'Коэффициенты (БЛ)'!$G$36+$D65*'Коэффициенты (БЛ)'!$G$37+$D64*'Коэффициенты (БЛ)'!$G$38+$D63*'Коэффициенты (БЛ)'!$G$39+$D62*'Коэффициенты (БЛ)'!$G$40+$D61*'Коэффициенты (БЛ)'!$G$41+$D60*'Коэффициенты (БЛ)'!$G$42+$D59*'Коэффициенты (БЛ)'!$G$43+$D58*'Коэффициенты (БЛ)'!$G$44+$D57*'Коэффициенты (БЛ)'!$G$45+$D56*'Коэффициенты (БЛ)'!$G$46+$D55*'Коэффициенты (БЛ)'!$G$47+$D54*'Коэффициенты (БЛ)'!$G$48+$D53*'Коэффициенты (БЛ)'!$G$49+$D52*'Коэффициенты (БЛ)'!$G$50+$D51*'Коэффициенты (БЛ)'!$G$51+$D50*'Коэффициенты (БЛ)'!$G$52+$D49*'Коэффициенты (БЛ)'!$G$53+$D48*'Коэффициенты (БЛ)'!$G$54+$D47*'Коэффициенты (БЛ)'!$G$55+$D46*'Коэффициенты (БЛ)'!$G$56+$D45*'Коэффициенты (БЛ)'!$G$57+$D44*'Коэффициенты (БЛ)'!$G$58+$D43*'Коэффициенты (БЛ)'!$G$59+$D42*'Коэффициенты (БЛ)'!$G$60+$D41*'Коэффициенты (БЛ)'!$G$61+$D40*'Коэффициенты (БЛ)'!$G$62+$D39*'Коэффициенты (БЛ)'!$G$63+$D38*'Коэффициенты (БЛ)'!$G$64+$D37*'Коэффициенты (БЛ)'!$G$65+$D36*'Коэффициенты (БЛ)'!$G$66</f>
        <v>57.625063004439127</v>
      </c>
      <c r="G96" s="43">
        <v>1</v>
      </c>
      <c r="H96" s="43">
        <f t="shared" si="6"/>
        <v>2201.8505657622977</v>
      </c>
      <c r="I96" s="43">
        <f t="shared" si="7"/>
        <v>57.625063004439127</v>
      </c>
    </row>
    <row r="97" spans="2:9" ht="18" customHeight="1" x14ac:dyDescent="0.35">
      <c r="B97" s="49"/>
      <c r="C97" s="36">
        <v>6</v>
      </c>
      <c r="D97" s="37">
        <f>'Обработка руды'!E71</f>
        <v>0</v>
      </c>
      <c r="E97" s="37">
        <f>$D96*'Коэффициенты (ПС)'!$G$8+Расчет!$D95*'Коэффициенты (ПС)'!$G$9+$D94*'Коэффициенты (ПС)'!$G$10+$D93*'Коэффициенты (ПС)'!$G$11+$D92*'Коэффициенты (ПС)'!$G$12+$D91*'Коэффициенты (ПС)'!$G$13+$D90*'Коэффициенты (ПС)'!$G$14+$D89*'Коэффициенты (ПС)'!$G$15+$D88*'Коэффициенты (ПС)'!$G$16+$D87*'Коэффициенты (ПС)'!$G$17+$D86*'Коэффициенты (ПС)'!$G$18+$D85*'Коэффициенты (ПС)'!$G$19+$D84*'Коэффициенты (ПС)'!$G$20+$D83*'Коэффициенты (ПС)'!$G$21+$D82*'Коэффициенты (ПС)'!$G$22+$D81*'Коэффициенты (ПС)'!$G$23+$D80*'Коэффициенты (ПС)'!$G$24+$D79*'Коэффициенты (ПС)'!$G$25+$D78*'Коэффициенты (ПС)'!$G$26+$D77*'Коэффициенты (ПС)'!$G$27+$D76*'Коэффициенты (ПС)'!$G$28+$D75*'Коэффициенты (ПС)'!$G$29+$D74*'Коэффициенты (ПС)'!$G$30+$D73*'Коэффициенты (ПС)'!$G$31+$D72*'Коэффициенты (ПС)'!$G$32+$D71*'Коэффициенты (ПС)'!$G$33+$D70*'Коэффициенты (ПС)'!$G$34+$D69*'Коэффициенты (ПС)'!$G$35+$D68*'Коэффициенты (ПС)'!$G$36+$D67*'Коэффициенты (ПС)'!$G$37+$D66*'Коэффициенты (ПС)'!$G$38+$D65*'Коэффициенты (ПС)'!$G$39+$D64*'Коэффициенты (ПС)'!$G$40+$D63*'Коэффициенты (ПС)'!$G$41+$D62*'Коэффициенты (ПС)'!$G$42+$D61*'Коэффициенты (ПС)'!$G$43+$D60*'Коэффициенты (ПС)'!$G$44+$D59*'Коэффициенты (ПС)'!$G$45+$D58*'Коэффициенты (ПС)'!$G$46+$D57*'Коэффициенты (ПС)'!$G$47+$D56*'Коэффициенты (ПС)'!$G$48+$D55*'Коэффициенты (ПС)'!$G$49+$D54*'Коэффициенты (ПС)'!$G$50+$D53*'Коэффициенты (ПС)'!$G$51+$D52*'Коэффициенты (ПС)'!$G$52+$D51*'Коэффициенты (ПС)'!$G$53+$D50*'Коэффициенты (ПС)'!$G$54+$D49*'Коэффициенты (ПС)'!$G$55+$D48*'Коэффициенты (ПС)'!$G$56+$D47*'Коэффициенты (ПС)'!$G$57+$D46*'Коэффициенты (ПС)'!$G$58+$D45*'Коэффициенты (ПС)'!$G$59+$D44*'Коэффициенты (ПС)'!$G$60+$D43*'Коэффициенты (ПС)'!$G$61+$D42*'Коэффициенты (ПС)'!$G$62+$D41*'Коэффициенты (ПС)'!$G$63+$D40*'Коэффициенты (ПС)'!$G$64+$D39*'Коэффициенты (ПС)'!$G$65+$D38*'Коэффициенты (ПС)'!$G$66+$D37*'Коэффициенты (ПС)'!$G$67</f>
        <v>2041.5920299855309</v>
      </c>
      <c r="F97" s="37">
        <f>$D96*'Коэффициенты (БЛ)'!$G$7+Расчет!$D95*'Коэффициенты (БЛ)'!$G$8+$D94*'Коэффициенты (БЛ)'!$G$9+$D93*'Коэффициенты (БЛ)'!$G$10+$D92*'Коэффициенты (БЛ)'!$G$11+$D91*'Коэффициенты (БЛ)'!$G$12+$D90*'Коэффициенты (БЛ)'!$G$13+$D89*'Коэффициенты (БЛ)'!$G$14+$D88*'Коэффициенты (БЛ)'!$G$15+$D87*'Коэффициенты (БЛ)'!$G$16+$D86*'Коэффициенты (БЛ)'!$G$17+$D85*'Коэффициенты (БЛ)'!$G$18+$D84*'Коэффициенты (БЛ)'!$G$19+$D83*'Коэффициенты (БЛ)'!$G$20+$D82*'Коэффициенты (БЛ)'!$G$21+$D81*'Коэффициенты (БЛ)'!$G$22+$D80*'Коэффициенты (БЛ)'!$G$23+$D79*'Коэффициенты (БЛ)'!$G$24+$D78*'Коэффициенты (БЛ)'!$G$25+$D77*'Коэффициенты (БЛ)'!$G$26+$D76*'Коэффициенты (БЛ)'!$G$27+$D75*'Коэффициенты (БЛ)'!$G$28+$D74*'Коэффициенты (БЛ)'!$G$29+$D73*'Коэффициенты (БЛ)'!$G$30+$D72*'Коэффициенты (БЛ)'!$G$31+$D71*'Коэффициенты (БЛ)'!$G$32+$D70*'Коэффициенты (БЛ)'!$G$33+$D69*'Коэффициенты (БЛ)'!$G$34+$D68*'Коэффициенты (БЛ)'!$G$35+$D67*'Коэффициенты (БЛ)'!$G$36+$D66*'Коэффициенты (БЛ)'!$G$37+$D65*'Коэффициенты (БЛ)'!$G$38+$D64*'Коэффициенты (БЛ)'!$G$39+$D63*'Коэффициенты (БЛ)'!$G$40+$D62*'Коэффициенты (БЛ)'!$G$41+$D61*'Коэффициенты (БЛ)'!$G$42+$D60*'Коэффициенты (БЛ)'!$G$43+$D59*'Коэффициенты (БЛ)'!$G$44+$D58*'Коэффициенты (БЛ)'!$G$45+$D57*'Коэффициенты (БЛ)'!$G$46+$D56*'Коэффициенты (БЛ)'!$G$47+$D55*'Коэффициенты (БЛ)'!$G$48+$D54*'Коэффициенты (БЛ)'!$G$49+$D53*'Коэффициенты (БЛ)'!$G$50+$D52*'Коэффициенты (БЛ)'!$G$51+$D51*'Коэффициенты (БЛ)'!$G$52+$D50*'Коэффициенты (БЛ)'!$G$53+$D49*'Коэффициенты (БЛ)'!$G$54+$D48*'Коэффициенты (БЛ)'!$G$55+$D47*'Коэффициенты (БЛ)'!$G$56+$D46*'Коэффициенты (БЛ)'!$G$57+$D45*'Коэффициенты (БЛ)'!$G$58+$D44*'Коэффициенты (БЛ)'!$G$59+$D43*'Коэффициенты (БЛ)'!$G$60+$D42*'Коэффициенты (БЛ)'!$G$61+$D41*'Коэффициенты (БЛ)'!$G$62+$D40*'Коэффициенты (БЛ)'!$G$63+$D39*'Коэффициенты (БЛ)'!$G$64+$D38*'Коэффициенты (БЛ)'!$G$65+$D37*'Коэффициенты (БЛ)'!$G$66</f>
        <v>53.430905433197289</v>
      </c>
      <c r="G97" s="43">
        <v>1</v>
      </c>
      <c r="H97" s="43">
        <f t="shared" si="6"/>
        <v>2041.5920299855309</v>
      </c>
      <c r="I97" s="43">
        <f t="shared" si="7"/>
        <v>53.430905433197289</v>
      </c>
    </row>
    <row r="98" spans="2:9" ht="18" customHeight="1" x14ac:dyDescent="0.35">
      <c r="B98" s="49"/>
      <c r="C98" s="36">
        <v>7</v>
      </c>
      <c r="D98" s="37">
        <f>'Обработка руды'!E72</f>
        <v>0</v>
      </c>
      <c r="E98" s="37">
        <f>$D97*'Коэффициенты (ПС)'!$G$8+Расчет!$D96*'Коэффициенты (ПС)'!$G$9+$D95*'Коэффициенты (ПС)'!$G$10+$D94*'Коэффициенты (ПС)'!$G$11+$D93*'Коэффициенты (ПС)'!$G$12+$D92*'Коэффициенты (ПС)'!$G$13+$D91*'Коэффициенты (ПС)'!$G$14+$D90*'Коэффициенты (ПС)'!$G$15+$D89*'Коэффициенты (ПС)'!$G$16+$D88*'Коэффициенты (ПС)'!$G$17+$D87*'Коэффициенты (ПС)'!$G$18+$D86*'Коэффициенты (ПС)'!$G$19+$D85*'Коэффициенты (ПС)'!$G$20+$D84*'Коэффициенты (ПС)'!$G$21+$D83*'Коэффициенты (ПС)'!$G$22+$D82*'Коэффициенты (ПС)'!$G$23+$D81*'Коэффициенты (ПС)'!$G$24+$D80*'Коэффициенты (ПС)'!$G$25+$D79*'Коэффициенты (ПС)'!$G$26+$D78*'Коэффициенты (ПС)'!$G$27+$D77*'Коэффициенты (ПС)'!$G$28+$D76*'Коэффициенты (ПС)'!$G$29+$D75*'Коэффициенты (ПС)'!$G$30+$D74*'Коэффициенты (ПС)'!$G$31+$D73*'Коэффициенты (ПС)'!$G$32+$D72*'Коэффициенты (ПС)'!$G$33+$D71*'Коэффициенты (ПС)'!$G$34+$D70*'Коэффициенты (ПС)'!$G$35+$D69*'Коэффициенты (ПС)'!$G$36+$D68*'Коэффициенты (ПС)'!$G$37+$D67*'Коэффициенты (ПС)'!$G$38+$D66*'Коэффициенты (ПС)'!$G$39+$D65*'Коэффициенты (ПС)'!$G$40+$D64*'Коэффициенты (ПС)'!$G$41+$D63*'Коэффициенты (ПС)'!$G$42+$D62*'Коэффициенты (ПС)'!$G$43+$D61*'Коэффициенты (ПС)'!$G$44+$D60*'Коэффициенты (ПС)'!$G$45+$D59*'Коэффициенты (ПС)'!$G$46+$D58*'Коэффициенты (ПС)'!$G$47+$D57*'Коэффициенты (ПС)'!$G$48+$D56*'Коэффициенты (ПС)'!$G$49+$D55*'Коэффициенты (ПС)'!$G$50+$D54*'Коэффициенты (ПС)'!$G$51+$D53*'Коэффициенты (ПС)'!$G$52+$D52*'Коэффициенты (ПС)'!$G$53+$D51*'Коэффициенты (ПС)'!$G$54+$D50*'Коэффициенты (ПС)'!$G$55+$D49*'Коэффициенты (ПС)'!$G$56+$D48*'Коэффициенты (ПС)'!$G$57+$D47*'Коэффициенты (ПС)'!$G$58+$D46*'Коэффициенты (ПС)'!$G$59+$D45*'Коэффициенты (ПС)'!$G$60+$D44*'Коэффициенты (ПС)'!$G$61+$D43*'Коэффициенты (ПС)'!$G$62+$D42*'Коэффициенты (ПС)'!$G$63+$D41*'Коэффициенты (ПС)'!$G$64+$D40*'Коэффициенты (ПС)'!$G$65+$D39*'Коэффициенты (ПС)'!$G$66+$D38*'Коэффициенты (ПС)'!$G$67</f>
        <v>1997.5863230886009</v>
      </c>
      <c r="F98" s="37">
        <f>$D97*'Коэффициенты (БЛ)'!$G$7+Расчет!$D96*'Коэффициенты (БЛ)'!$G$8+$D95*'Коэффициенты (БЛ)'!$G$9+$D94*'Коэффициенты (БЛ)'!$G$10+$D93*'Коэффициенты (БЛ)'!$G$11+$D92*'Коэффициенты (БЛ)'!$G$12+$D91*'Коэффициенты (БЛ)'!$G$13+$D90*'Коэффициенты (БЛ)'!$G$14+$D89*'Коэффициенты (БЛ)'!$G$15+$D88*'Коэффициенты (БЛ)'!$G$16+$D87*'Коэффициенты (БЛ)'!$G$17+$D86*'Коэффициенты (БЛ)'!$G$18+$D85*'Коэффициенты (БЛ)'!$G$19+$D84*'Коэффициенты (БЛ)'!$G$20+$D83*'Коэффициенты (БЛ)'!$G$21+$D82*'Коэффициенты (БЛ)'!$G$22+$D81*'Коэффициенты (БЛ)'!$G$23+$D80*'Коэффициенты (БЛ)'!$G$24+$D79*'Коэффициенты (БЛ)'!$G$25+$D78*'Коэффициенты (БЛ)'!$G$26+$D77*'Коэффициенты (БЛ)'!$G$27+$D76*'Коэффициенты (БЛ)'!$G$28+$D75*'Коэффициенты (БЛ)'!$G$29+$D74*'Коэффициенты (БЛ)'!$G$30+$D73*'Коэффициенты (БЛ)'!$G$31+$D72*'Коэффициенты (БЛ)'!$G$32+$D71*'Коэффициенты (БЛ)'!$G$33+$D70*'Коэффициенты (БЛ)'!$G$34+$D69*'Коэффициенты (БЛ)'!$G$35+$D68*'Коэффициенты (БЛ)'!$G$36+$D67*'Коэффициенты (БЛ)'!$G$37+$D66*'Коэффициенты (БЛ)'!$G$38+$D65*'Коэффициенты (БЛ)'!$G$39+$D64*'Коэффициенты (БЛ)'!$G$40+$D63*'Коэффициенты (БЛ)'!$G$41+$D62*'Коэффициенты (БЛ)'!$G$42+$D61*'Коэффициенты (БЛ)'!$G$43+$D60*'Коэффициенты (БЛ)'!$G$44+$D59*'Коэффициенты (БЛ)'!$G$45+$D58*'Коэффициенты (БЛ)'!$G$46+$D57*'Коэффициенты (БЛ)'!$G$47+$D56*'Коэффициенты (БЛ)'!$G$48+$D55*'Коэффициенты (БЛ)'!$G$49+$D54*'Коэффициенты (БЛ)'!$G$50+$D53*'Коэффициенты (БЛ)'!$G$51+$D52*'Коэффициенты (БЛ)'!$G$52+$D51*'Коэффициенты (БЛ)'!$G$53+$D50*'Коэффициенты (БЛ)'!$G$54+$D49*'Коэффициенты (БЛ)'!$G$55+$D48*'Коэффициенты (БЛ)'!$G$56+$D47*'Коэффициенты (БЛ)'!$G$57+$D46*'Коэффициенты (БЛ)'!$G$58+$D45*'Коэффициенты (БЛ)'!$G$59+$D44*'Коэффициенты (БЛ)'!$G$60+$D43*'Коэффициенты (БЛ)'!$G$61+$D42*'Коэффициенты (БЛ)'!$G$62+$D41*'Коэффициенты (БЛ)'!$G$63+$D40*'Коэффициенты (БЛ)'!$G$64+$D39*'Коэффициенты (БЛ)'!$G$65+$D38*'Коэффициенты (БЛ)'!$G$66</f>
        <v>52.279223447179845</v>
      </c>
      <c r="G98" s="43">
        <v>1</v>
      </c>
      <c r="H98" s="43">
        <f t="shared" si="6"/>
        <v>1997.5863230886009</v>
      </c>
      <c r="I98" s="43">
        <f t="shared" si="7"/>
        <v>52.279223447179845</v>
      </c>
    </row>
    <row r="99" spans="2:9" ht="18" customHeight="1" x14ac:dyDescent="0.35">
      <c r="B99" s="49"/>
      <c r="C99" s="36">
        <v>8</v>
      </c>
      <c r="D99" s="37">
        <f>'Обработка руды'!E73</f>
        <v>0</v>
      </c>
      <c r="E99" s="37">
        <f>$D98*'Коэффициенты (ПС)'!$G$8+Расчет!$D97*'Коэффициенты (ПС)'!$G$9+$D96*'Коэффициенты (ПС)'!$G$10+$D95*'Коэффициенты (ПС)'!$G$11+$D94*'Коэффициенты (ПС)'!$G$12+$D93*'Коэффициенты (ПС)'!$G$13+$D92*'Коэффициенты (ПС)'!$G$14+$D91*'Коэффициенты (ПС)'!$G$15+$D90*'Коэффициенты (ПС)'!$G$16+$D89*'Коэффициенты (ПС)'!$G$17+$D88*'Коэффициенты (ПС)'!$G$18+$D87*'Коэффициенты (ПС)'!$G$19+$D86*'Коэффициенты (ПС)'!$G$20+$D85*'Коэффициенты (ПС)'!$G$21+$D84*'Коэффициенты (ПС)'!$G$22+$D83*'Коэффициенты (ПС)'!$G$23+$D82*'Коэффициенты (ПС)'!$G$24+$D81*'Коэффициенты (ПС)'!$G$25+$D80*'Коэффициенты (ПС)'!$G$26+$D79*'Коэффициенты (ПС)'!$G$27+$D78*'Коэффициенты (ПС)'!$G$28+$D77*'Коэффициенты (ПС)'!$G$29+$D76*'Коэффициенты (ПС)'!$G$30+$D75*'Коэффициенты (ПС)'!$G$31+$D74*'Коэффициенты (ПС)'!$G$32+$D73*'Коэффициенты (ПС)'!$G$33+$D72*'Коэффициенты (ПС)'!$G$34+$D71*'Коэффициенты (ПС)'!$G$35+$D70*'Коэффициенты (ПС)'!$G$36+$D69*'Коэффициенты (ПС)'!$G$37+$D68*'Коэффициенты (ПС)'!$G$38+$D67*'Коэффициенты (ПС)'!$G$39+$D66*'Коэффициенты (ПС)'!$G$40+$D65*'Коэффициенты (ПС)'!$G$41+$D64*'Коэффициенты (ПС)'!$G$42+$D63*'Коэффициенты (ПС)'!$G$43+$D62*'Коэффициенты (ПС)'!$G$44+$D61*'Коэффициенты (ПС)'!$G$45+$D60*'Коэффициенты (ПС)'!$G$46+$D59*'Коэффициенты (ПС)'!$G$47+$D58*'Коэффициенты (ПС)'!$G$48+$D57*'Коэффициенты (ПС)'!$G$49+$D56*'Коэффициенты (ПС)'!$G$50+$D55*'Коэффициенты (ПС)'!$G$51+$D54*'Коэффициенты (ПС)'!$G$52+$D53*'Коэффициенты (ПС)'!$G$53+$D52*'Коэффициенты (ПС)'!$G$54+$D51*'Коэффициенты (ПС)'!$G$55+$D50*'Коэффициенты (ПС)'!$G$56+$D49*'Коэффициенты (ПС)'!$G$57+$D48*'Коэффициенты (ПС)'!$G$58+$D47*'Коэффициенты (ПС)'!$G$59+$D46*'Коэффициенты (ПС)'!$G$60+$D45*'Коэффициенты (ПС)'!$G$61+$D44*'Коэффициенты (ПС)'!$G$62+$D43*'Коэффициенты (ПС)'!$G$63+$D42*'Коэффициенты (ПС)'!$G$64+$D41*'Коэффициенты (ПС)'!$G$65+$D40*'Коэффициенты (ПС)'!$G$66+$D39*'Коэффициенты (ПС)'!$G$67</f>
        <v>1889.9788368777406</v>
      </c>
      <c r="F99" s="37">
        <f>$D98*'Коэффициенты (БЛ)'!$G$7+Расчет!$D97*'Коэффициенты (БЛ)'!$G$8+$D96*'Коэффициенты (БЛ)'!$G$9+$D95*'Коэффициенты (БЛ)'!$G$10+$D94*'Коэффициенты (БЛ)'!$G$11+$D93*'Коэффициенты (БЛ)'!$G$12+$D92*'Коэффициенты (БЛ)'!$G$13+$D91*'Коэффициенты (БЛ)'!$G$14+$D90*'Коэффициенты (БЛ)'!$G$15+$D89*'Коэффициенты (БЛ)'!$G$16+$D88*'Коэффициенты (БЛ)'!$G$17+$D87*'Коэффициенты (БЛ)'!$G$18+$D86*'Коэффициенты (БЛ)'!$G$19+$D85*'Коэффициенты (БЛ)'!$G$20+$D84*'Коэффициенты (БЛ)'!$G$21+$D83*'Коэффициенты (БЛ)'!$G$22+$D82*'Коэффициенты (БЛ)'!$G$23+$D81*'Коэффициенты (БЛ)'!$G$24+$D80*'Коэффициенты (БЛ)'!$G$25+$D79*'Коэффициенты (БЛ)'!$G$26+$D78*'Коэффициенты (БЛ)'!$G$27+$D77*'Коэффициенты (БЛ)'!$G$28+$D76*'Коэффициенты (БЛ)'!$G$29+$D75*'Коэффициенты (БЛ)'!$G$30+$D74*'Коэффициенты (БЛ)'!$G$31+$D73*'Коэффициенты (БЛ)'!$G$32+$D72*'Коэффициенты (БЛ)'!$G$33+$D71*'Коэффициенты (БЛ)'!$G$34+$D70*'Коэффициенты (БЛ)'!$G$35+$D69*'Коэффициенты (БЛ)'!$G$36+$D68*'Коэффициенты (БЛ)'!$G$37+$D67*'Коэффициенты (БЛ)'!$G$38+$D66*'Коэффициенты (БЛ)'!$G$39+$D65*'Коэффициенты (БЛ)'!$G$40+$D64*'Коэффициенты (БЛ)'!$G$41+$D63*'Коэффициенты (БЛ)'!$G$42+$D62*'Коэффициенты (БЛ)'!$G$43+$D61*'Коэффициенты (БЛ)'!$G$44+$D60*'Коэффициенты (БЛ)'!$G$45+$D59*'Коэффициенты (БЛ)'!$G$46+$D58*'Коэффициенты (БЛ)'!$G$47+$D57*'Коэффициенты (БЛ)'!$G$48+$D56*'Коэффициенты (БЛ)'!$G$49+$D55*'Коэффициенты (БЛ)'!$G$50+$D54*'Коэффициенты (БЛ)'!$G$51+$D53*'Коэффициенты (БЛ)'!$G$52+$D52*'Коэффициенты (БЛ)'!$G$53+$D51*'Коэффициенты (БЛ)'!$G$54+$D50*'Коэффициенты (БЛ)'!$G$55+$D49*'Коэффициенты (БЛ)'!$G$56+$D48*'Коэффициенты (БЛ)'!$G$57+$D47*'Коэффициенты (БЛ)'!$G$58+$D46*'Коэффициенты (БЛ)'!$G$59+$D45*'Коэффициенты (БЛ)'!$G$60+$D44*'Коэффициенты (БЛ)'!$G$61+$D43*'Коэффициенты (БЛ)'!$G$62+$D42*'Коэффициенты (БЛ)'!$G$63+$D41*'Коэффициенты (БЛ)'!$G$64+$D40*'Коэффициенты (БЛ)'!$G$65+$D39*'Коэффициенты (БЛ)'!$G$66</f>
        <v>49.463006820551861</v>
      </c>
      <c r="G99" s="43">
        <v>1</v>
      </c>
      <c r="H99" s="43">
        <f t="shared" si="6"/>
        <v>1889.9788368777406</v>
      </c>
      <c r="I99" s="43">
        <f t="shared" si="7"/>
        <v>49.463006820551861</v>
      </c>
    </row>
    <row r="100" spans="2:9" ht="18" customHeight="1" x14ac:dyDescent="0.35">
      <c r="B100" s="49"/>
      <c r="C100" s="36">
        <v>9</v>
      </c>
      <c r="D100" s="37">
        <f>'Обработка руды'!E74</f>
        <v>0</v>
      </c>
      <c r="E100" s="37">
        <f>$D99*'Коэффициенты (ПС)'!$G$8+Расчет!$D98*'Коэффициенты (ПС)'!$G$9+$D97*'Коэффициенты (ПС)'!$G$10+$D96*'Коэффициенты (ПС)'!$G$11+$D95*'Коэффициенты (ПС)'!$G$12+$D94*'Коэффициенты (ПС)'!$G$13+$D93*'Коэффициенты (ПС)'!$G$14+$D92*'Коэффициенты (ПС)'!$G$15+$D91*'Коэффициенты (ПС)'!$G$16+$D90*'Коэффициенты (ПС)'!$G$17+$D89*'Коэффициенты (ПС)'!$G$18+$D88*'Коэффициенты (ПС)'!$G$19+$D87*'Коэффициенты (ПС)'!$G$20+$D86*'Коэффициенты (ПС)'!$G$21+$D85*'Коэффициенты (ПС)'!$G$22+$D84*'Коэффициенты (ПС)'!$G$23+$D83*'Коэффициенты (ПС)'!$G$24+$D82*'Коэффициенты (ПС)'!$G$25+$D81*'Коэффициенты (ПС)'!$G$26+$D80*'Коэффициенты (ПС)'!$G$27+$D79*'Коэффициенты (ПС)'!$G$28+$D78*'Коэффициенты (ПС)'!$G$29+$D77*'Коэффициенты (ПС)'!$G$30+$D76*'Коэффициенты (ПС)'!$G$31+$D75*'Коэффициенты (ПС)'!$G$32+$D74*'Коэффициенты (ПС)'!$G$33+$D73*'Коэффициенты (ПС)'!$G$34+$D72*'Коэффициенты (ПС)'!$G$35+$D71*'Коэффициенты (ПС)'!$G$36+$D70*'Коэффициенты (ПС)'!$G$37+$D69*'Коэффициенты (ПС)'!$G$38+$D68*'Коэффициенты (ПС)'!$G$39+$D67*'Коэффициенты (ПС)'!$G$40+$D66*'Коэффициенты (ПС)'!$G$41+$D65*'Коэффициенты (ПС)'!$G$42+$D64*'Коэффициенты (ПС)'!$G$43+$D63*'Коэффициенты (ПС)'!$G$44+$D62*'Коэффициенты (ПС)'!$G$45+$D61*'Коэффициенты (ПС)'!$G$46+$D60*'Коэффициенты (ПС)'!$G$47+$D59*'Коэффициенты (ПС)'!$G$48+$D58*'Коэффициенты (ПС)'!$G$49+$D57*'Коэффициенты (ПС)'!$G$50+$D56*'Коэффициенты (ПС)'!$G$51+$D55*'Коэффициенты (ПС)'!$G$52+$D54*'Коэффициенты (ПС)'!$G$53+$D53*'Коэффициенты (ПС)'!$G$54+$D52*'Коэффициенты (ПС)'!$G$55+$D51*'Коэффициенты (ПС)'!$G$56+$D50*'Коэффициенты (ПС)'!$G$57+$D49*'Коэффициенты (ПС)'!$G$58+$D48*'Коэффициенты (ПС)'!$G$59+$D47*'Коэффициенты (ПС)'!$G$60+$D46*'Коэффициенты (ПС)'!$G$61+$D45*'Коэффициенты (ПС)'!$G$62+$D44*'Коэффициенты (ПС)'!$G$63+$D43*'Коэффициенты (ПС)'!$G$64+$D42*'Коэффициенты (ПС)'!$G$65+$D41*'Коэффициенты (ПС)'!$G$66+$D40*'Коэффициенты (ПС)'!$G$67</f>
        <v>1825.5545360729423</v>
      </c>
      <c r="F100" s="37">
        <f>$D99*'Коэффициенты (БЛ)'!$G$7+Расчет!$D98*'Коэффициенты (БЛ)'!$G$8+$D97*'Коэффициенты (БЛ)'!$G$9+$D96*'Коэффициенты (БЛ)'!$G$10+$D95*'Коэффициенты (БЛ)'!$G$11+$D94*'Коэффициенты (БЛ)'!$G$12+$D93*'Коэффициенты (БЛ)'!$G$13+$D92*'Коэффициенты (БЛ)'!$G$14+$D91*'Коэффициенты (БЛ)'!$G$15+$D90*'Коэффициенты (БЛ)'!$G$16+$D89*'Коэффициенты (БЛ)'!$G$17+$D88*'Коэффициенты (БЛ)'!$G$18+$D87*'Коэффициенты (БЛ)'!$G$19+$D86*'Коэффициенты (БЛ)'!$G$20+$D85*'Коэффициенты (БЛ)'!$G$21+$D84*'Коэффициенты (БЛ)'!$G$22+$D83*'Коэффициенты (БЛ)'!$G$23+$D82*'Коэффициенты (БЛ)'!$G$24+$D81*'Коэффициенты (БЛ)'!$G$25+$D80*'Коэффициенты (БЛ)'!$G$26+$D79*'Коэффициенты (БЛ)'!$G$27+$D78*'Коэффициенты (БЛ)'!$G$28+$D77*'Коэффициенты (БЛ)'!$G$29+$D76*'Коэффициенты (БЛ)'!$G$30+$D75*'Коэффициенты (БЛ)'!$G$31+$D74*'Коэффициенты (БЛ)'!$G$32+$D73*'Коэффициенты (БЛ)'!$G$33+$D72*'Коэффициенты (БЛ)'!$G$34+$D71*'Коэффициенты (БЛ)'!$G$35+$D70*'Коэффициенты (БЛ)'!$G$36+$D69*'Коэффициенты (БЛ)'!$G$37+$D68*'Коэффициенты (БЛ)'!$G$38+$D67*'Коэффициенты (БЛ)'!$G$39+$D66*'Коэффициенты (БЛ)'!$G$40+$D65*'Коэффициенты (БЛ)'!$G$41+$D64*'Коэффициенты (БЛ)'!$G$42+$D63*'Коэффициенты (БЛ)'!$G$43+$D62*'Коэффициенты (БЛ)'!$G$44+$D61*'Коэффициенты (БЛ)'!$G$45+$D60*'Коэффициенты (БЛ)'!$G$46+$D59*'Коэффициенты (БЛ)'!$G$47+$D58*'Коэффициенты (БЛ)'!$G$48+$D57*'Коэффициенты (БЛ)'!$G$49+$D56*'Коэффициенты (БЛ)'!$G$50+$D55*'Коэффициенты (БЛ)'!$G$51+$D54*'Коэффициенты (БЛ)'!$G$52+$D53*'Коэффициенты (БЛ)'!$G$53+$D52*'Коэффициенты (БЛ)'!$G$54+$D51*'Коэффициенты (БЛ)'!$G$55+$D50*'Коэффициенты (БЛ)'!$G$56+$D49*'Коэффициенты (БЛ)'!$G$57+$D48*'Коэффициенты (БЛ)'!$G$58+$D47*'Коэффициенты (БЛ)'!$G$59+$D46*'Коэффициенты (БЛ)'!$G$60+$D45*'Коэффициенты (БЛ)'!$G$61+$D44*'Коэффициенты (БЛ)'!$G$62+$D43*'Коэффициенты (БЛ)'!$G$63+$D42*'Коэффициенты (БЛ)'!$G$64+$D41*'Коэффициенты (БЛ)'!$G$65+$D40*'Коэффициенты (БЛ)'!$G$66</f>
        <v>47.776945808682846</v>
      </c>
      <c r="G100" s="43">
        <v>1</v>
      </c>
      <c r="H100" s="43">
        <f t="shared" si="6"/>
        <v>1825.5545360729423</v>
      </c>
      <c r="I100" s="43">
        <f t="shared" si="7"/>
        <v>47.776945808682846</v>
      </c>
    </row>
    <row r="101" spans="2:9" ht="18" customHeight="1" x14ac:dyDescent="0.35">
      <c r="B101" s="49"/>
      <c r="C101" s="36">
        <v>10</v>
      </c>
      <c r="D101" s="37">
        <f>'Обработка руды'!E75</f>
        <v>0</v>
      </c>
      <c r="E101" s="37">
        <f>$D100*'Коэффициенты (ПС)'!$G$8+Расчет!$D99*'Коэффициенты (ПС)'!$G$9+$D98*'Коэффициенты (ПС)'!$G$10+$D97*'Коэффициенты (ПС)'!$G$11+$D96*'Коэффициенты (ПС)'!$G$12+$D95*'Коэффициенты (ПС)'!$G$13+$D94*'Коэффициенты (ПС)'!$G$14+$D93*'Коэффициенты (ПС)'!$G$15+$D92*'Коэффициенты (ПС)'!$G$16+$D91*'Коэффициенты (ПС)'!$G$17+$D90*'Коэффициенты (ПС)'!$G$18+$D89*'Коэффициенты (ПС)'!$G$19+$D88*'Коэффициенты (ПС)'!$G$20+$D87*'Коэффициенты (ПС)'!$G$21+$D86*'Коэффициенты (ПС)'!$G$22+$D85*'Коэффициенты (ПС)'!$G$23+$D84*'Коэффициенты (ПС)'!$G$24+$D83*'Коэффициенты (ПС)'!$G$25+$D82*'Коэффициенты (ПС)'!$G$26+$D81*'Коэффициенты (ПС)'!$G$27+$D80*'Коэффициенты (ПС)'!$G$28+$D79*'Коэффициенты (ПС)'!$G$29+$D78*'Коэффициенты (ПС)'!$G$30+$D77*'Коэффициенты (ПС)'!$G$31+$D76*'Коэффициенты (ПС)'!$G$32+$D75*'Коэффициенты (ПС)'!$G$33+$D74*'Коэффициенты (ПС)'!$G$34+$D73*'Коэффициенты (ПС)'!$G$35+$D72*'Коэффициенты (ПС)'!$G$36+$D71*'Коэффициенты (ПС)'!$G$37+$D70*'Коэффициенты (ПС)'!$G$38+$D69*'Коэффициенты (ПС)'!$G$39+$D68*'Коэффициенты (ПС)'!$G$40+$D67*'Коэффициенты (ПС)'!$G$41+$D66*'Коэффициенты (ПС)'!$G$42+$D65*'Коэффициенты (ПС)'!$G$43+$D64*'Коэффициенты (ПС)'!$G$44+$D63*'Коэффициенты (ПС)'!$G$45+$D62*'Коэффициенты (ПС)'!$G$46+$D61*'Коэффициенты (ПС)'!$G$47+$D60*'Коэффициенты (ПС)'!$G$48+$D59*'Коэффициенты (ПС)'!$G$49+$D58*'Коэффициенты (ПС)'!$G$50+$D57*'Коэффициенты (ПС)'!$G$51+$D56*'Коэффициенты (ПС)'!$G$52+$D55*'Коэффициенты (ПС)'!$G$53+$D54*'Коэффициенты (ПС)'!$G$54+$D53*'Коэффициенты (ПС)'!$G$55+$D52*'Коэффициенты (ПС)'!$G$56+$D51*'Коэффициенты (ПС)'!$G$57+$D50*'Коэффициенты (ПС)'!$G$58+$D49*'Коэффициенты (ПС)'!$G$59+$D48*'Коэффициенты (ПС)'!$G$60+$D47*'Коэффициенты (ПС)'!$G$61+$D46*'Коэффициенты (ПС)'!$G$62+$D45*'Коэффициенты (ПС)'!$G$63+$D44*'Коэффициенты (ПС)'!$G$64+$D43*'Коэффициенты (ПС)'!$G$65+$D42*'Коэффициенты (ПС)'!$G$66+$D41*'Коэффициенты (ПС)'!$G$67</f>
        <v>1786.013993925628</v>
      </c>
      <c r="F101" s="37">
        <f>$D100*'Коэффициенты (БЛ)'!$G$7+Расчет!$D99*'Коэффициенты (БЛ)'!$G$8+$D98*'Коэффициенты (БЛ)'!$G$9+$D97*'Коэффициенты (БЛ)'!$G$10+$D96*'Коэффициенты (БЛ)'!$G$11+$D95*'Коэффициенты (БЛ)'!$G$12+$D94*'Коэффициенты (БЛ)'!$G$13+$D93*'Коэффициенты (БЛ)'!$G$14+$D92*'Коэффициенты (БЛ)'!$G$15+$D91*'Коэффициенты (БЛ)'!$G$16+$D90*'Коэффициенты (БЛ)'!$G$17+$D89*'Коэффициенты (БЛ)'!$G$18+$D88*'Коэффициенты (БЛ)'!$G$19+$D87*'Коэффициенты (БЛ)'!$G$20+$D86*'Коэффициенты (БЛ)'!$G$21+$D85*'Коэффициенты (БЛ)'!$G$22+$D84*'Коэффициенты (БЛ)'!$G$23+$D83*'Коэффициенты (БЛ)'!$G$24+$D82*'Коэффициенты (БЛ)'!$G$25+$D81*'Коэффициенты (БЛ)'!$G$26+$D80*'Коэффициенты (БЛ)'!$G$27+$D79*'Коэффициенты (БЛ)'!$G$28+$D78*'Коэффициенты (БЛ)'!$G$29+$D77*'Коэффициенты (БЛ)'!$G$30+$D76*'Коэффициенты (БЛ)'!$G$31+$D75*'Коэффициенты (БЛ)'!$G$32+$D74*'Коэффициенты (БЛ)'!$G$33+$D73*'Коэффициенты (БЛ)'!$G$34+$D72*'Коэффициенты (БЛ)'!$G$35+$D71*'Коэффициенты (БЛ)'!$G$36+$D70*'Коэффициенты (БЛ)'!$G$37+$D69*'Коэффициенты (БЛ)'!$G$38+$D68*'Коэффициенты (БЛ)'!$G$39+$D67*'Коэффициенты (БЛ)'!$G$40+$D66*'Коэффициенты (БЛ)'!$G$41+$D65*'Коэффициенты (БЛ)'!$G$42+$D64*'Коэффициенты (БЛ)'!$G$43+$D63*'Коэффициенты (БЛ)'!$G$44+$D62*'Коэффициенты (БЛ)'!$G$45+$D61*'Коэффициенты (БЛ)'!$G$46+$D60*'Коэффициенты (БЛ)'!$G$47+$D59*'Коэффициенты (БЛ)'!$G$48+$D58*'Коэффициенты (БЛ)'!$G$49+$D57*'Коэффициенты (БЛ)'!$G$50+$D56*'Коэффициенты (БЛ)'!$G$51+$D55*'Коэффициенты (БЛ)'!$G$52+$D54*'Коэффициенты (БЛ)'!$G$53+$D53*'Коэффициенты (БЛ)'!$G$54+$D52*'Коэффициенты (БЛ)'!$G$55+$D51*'Коэффициенты (БЛ)'!$G$56+$D50*'Коэффициенты (БЛ)'!$G$57+$D49*'Коэффициенты (БЛ)'!$G$58+$D48*'Коэффициенты (БЛ)'!$G$59+$D47*'Коэффициенты (БЛ)'!$G$60+$D46*'Коэффициенты (БЛ)'!$G$61+$D45*'Коэффициенты (БЛ)'!$G$62+$D44*'Коэффициенты (БЛ)'!$G$63+$D43*'Коэффициенты (БЛ)'!$G$64+$D42*'Коэффициенты (БЛ)'!$G$65+$D41*'Коэффициенты (БЛ)'!$G$66</f>
        <v>46.74212252507823</v>
      </c>
      <c r="G101" s="43">
        <v>1</v>
      </c>
      <c r="H101" s="43">
        <f t="shared" si="6"/>
        <v>1786.013993925628</v>
      </c>
      <c r="I101" s="43">
        <f t="shared" si="7"/>
        <v>46.74212252507823</v>
      </c>
    </row>
    <row r="102" spans="2:9" ht="18" customHeight="1" x14ac:dyDescent="0.35">
      <c r="B102" s="49"/>
      <c r="C102" s="36">
        <v>11</v>
      </c>
      <c r="D102" s="37">
        <f>'Обработка руды'!E76</f>
        <v>81940.753550136986</v>
      </c>
      <c r="E102" s="37">
        <f>$D101*'Коэффициенты (ПС)'!$G$8+Расчет!$D100*'Коэффициенты (ПС)'!$G$9+$D99*'Коэффициенты (ПС)'!$G$10+$D98*'Коэффициенты (ПС)'!$G$11+$D97*'Коэффициенты (ПС)'!$G$12+$D96*'Коэффициенты (ПС)'!$G$13+$D95*'Коэффициенты (ПС)'!$G$14+$D94*'Коэффициенты (ПС)'!$G$15+$D93*'Коэффициенты (ПС)'!$G$16+$D92*'Коэффициенты (ПС)'!$G$17+$D91*'Коэффициенты (ПС)'!$G$18+$D90*'Коэффициенты (ПС)'!$G$19+$D89*'Коэффициенты (ПС)'!$G$20+$D88*'Коэффициенты (ПС)'!$G$21+$D87*'Коэффициенты (ПС)'!$G$22+$D86*'Коэффициенты (ПС)'!$G$23+$D85*'Коэффициенты (ПС)'!$G$24+$D84*'Коэффициенты (ПС)'!$G$25+$D83*'Коэффициенты (ПС)'!$G$26+$D82*'Коэффициенты (ПС)'!$G$27+$D81*'Коэффициенты (ПС)'!$G$28+$D80*'Коэффициенты (ПС)'!$G$29+$D79*'Коэффициенты (ПС)'!$G$30+$D78*'Коэффициенты (ПС)'!$G$31+$D77*'Коэффициенты (ПС)'!$G$32+$D76*'Коэффициенты (ПС)'!$G$33+$D75*'Коэффициенты (ПС)'!$G$34+$D74*'Коэффициенты (ПС)'!$G$35+$D73*'Коэффициенты (ПС)'!$G$36+$D72*'Коэффициенты (ПС)'!$G$37+$D71*'Коэффициенты (ПС)'!$G$38+$D70*'Коэффициенты (ПС)'!$G$39+$D69*'Коэффициенты (ПС)'!$G$40+$D68*'Коэффициенты (ПС)'!$G$41+$D67*'Коэффициенты (ПС)'!$G$42+$D66*'Коэффициенты (ПС)'!$G$43+$D65*'Коэффициенты (ПС)'!$G$44+$D64*'Коэффициенты (ПС)'!$G$45+$D63*'Коэффициенты (ПС)'!$G$46+$D62*'Коэффициенты (ПС)'!$G$47+$D61*'Коэффициенты (ПС)'!$G$48+$D60*'Коэффициенты (ПС)'!$G$49+$D59*'Коэффициенты (ПС)'!$G$50+$D58*'Коэффициенты (ПС)'!$G$51+$D57*'Коэффициенты (ПС)'!$G$52+$D56*'Коэффициенты (ПС)'!$G$53+$D55*'Коэффициенты (ПС)'!$G$54+$D54*'Коэффициенты (ПС)'!$G$55+$D53*'Коэффициенты (ПС)'!$G$56+$D52*'Коэффициенты (ПС)'!$G$57+$D51*'Коэффициенты (ПС)'!$G$58+$D50*'Коэффициенты (ПС)'!$G$59+$D49*'Коэффициенты (ПС)'!$G$60+$D48*'Коэффициенты (ПС)'!$G$61+$D47*'Коэффициенты (ПС)'!$G$62+$D46*'Коэффициенты (ПС)'!$G$63+$D45*'Коэффициенты (ПС)'!$G$64+$D44*'Коэффициенты (ПС)'!$G$65+$D43*'Коэффициенты (ПС)'!$G$66+$D42*'Коэффициенты (ПС)'!$G$67</f>
        <v>1709.038036394001</v>
      </c>
      <c r="F102" s="37">
        <f>$D101*'Коэффициенты (БЛ)'!$G$7+Расчет!$D100*'Коэффициенты (БЛ)'!$G$8+$D99*'Коэффициенты (БЛ)'!$G$9+$D98*'Коэффициенты (БЛ)'!$G$10+$D97*'Коэффициенты (БЛ)'!$G$11+$D96*'Коэффициенты (БЛ)'!$G$12+$D95*'Коэффициенты (БЛ)'!$G$13+$D94*'Коэффициенты (БЛ)'!$G$14+$D93*'Коэффициенты (БЛ)'!$G$15+$D92*'Коэффициенты (БЛ)'!$G$16+$D91*'Коэффициенты (БЛ)'!$G$17+$D90*'Коэффициенты (БЛ)'!$G$18+$D89*'Коэффициенты (БЛ)'!$G$19+$D88*'Коэффициенты (БЛ)'!$G$20+$D87*'Коэффициенты (БЛ)'!$G$21+$D86*'Коэффициенты (БЛ)'!$G$22+$D85*'Коэффициенты (БЛ)'!$G$23+$D84*'Коэффициенты (БЛ)'!$G$24+$D83*'Коэффициенты (БЛ)'!$G$25+$D82*'Коэффициенты (БЛ)'!$G$26+$D81*'Коэффициенты (БЛ)'!$G$27+$D80*'Коэффициенты (БЛ)'!$G$28+$D79*'Коэффициенты (БЛ)'!$G$29+$D78*'Коэффициенты (БЛ)'!$G$30+$D77*'Коэффициенты (БЛ)'!$G$31+$D76*'Коэффициенты (БЛ)'!$G$32+$D75*'Коэффициенты (БЛ)'!$G$33+$D74*'Коэффициенты (БЛ)'!$G$34+$D73*'Коэффициенты (БЛ)'!$G$35+$D72*'Коэффициенты (БЛ)'!$G$36+$D71*'Коэффициенты (БЛ)'!$G$37+$D70*'Коэффициенты (БЛ)'!$G$38+$D69*'Коэффициенты (БЛ)'!$G$39+$D68*'Коэффициенты (БЛ)'!$G$40+$D67*'Коэффициенты (БЛ)'!$G$41+$D66*'Коэффициенты (БЛ)'!$G$42+$D65*'Коэффициенты (БЛ)'!$G$43+$D64*'Коэффициенты (БЛ)'!$G$44+$D63*'Коэффициенты (БЛ)'!$G$45+$D62*'Коэффициенты (БЛ)'!$G$46+$D61*'Коэффициенты (БЛ)'!$G$47+$D60*'Коэффициенты (БЛ)'!$G$48+$D59*'Коэффициенты (БЛ)'!$G$49+$D58*'Коэффициенты (БЛ)'!$G$50+$D57*'Коэффициенты (БЛ)'!$G$51+$D56*'Коэффициенты (БЛ)'!$G$52+$D55*'Коэффициенты (БЛ)'!$G$53+$D54*'Коэффициенты (БЛ)'!$G$54+$D53*'Коэффициенты (БЛ)'!$G$55+$D52*'Коэффициенты (БЛ)'!$G$56+$D51*'Коэффициенты (БЛ)'!$G$57+$D50*'Коэффициенты (БЛ)'!$G$58+$D49*'Коэффициенты (БЛ)'!$G$59+$D48*'Коэффициенты (БЛ)'!$G$60+$D47*'Коэффициенты (БЛ)'!$G$61+$D46*'Коэффициенты (БЛ)'!$G$62+$D45*'Коэффициенты (БЛ)'!$G$63+$D44*'Коэффициенты (БЛ)'!$G$64+$D43*'Коэффициенты (БЛ)'!$G$65+$D42*'Коэффициенты (БЛ)'!$G$66</f>
        <v>44.727569643261312</v>
      </c>
      <c r="G102" s="43">
        <v>1</v>
      </c>
      <c r="H102" s="43">
        <f t="shared" si="6"/>
        <v>1709.038036394001</v>
      </c>
      <c r="I102" s="43">
        <f t="shared" si="7"/>
        <v>44.727569643261312</v>
      </c>
    </row>
    <row r="103" spans="2:9" ht="18" customHeight="1" x14ac:dyDescent="0.35">
      <c r="B103" s="49"/>
      <c r="C103" s="36">
        <v>12</v>
      </c>
      <c r="D103" s="37">
        <f>'Обработка руды'!E77</f>
        <v>164932.02958168599</v>
      </c>
      <c r="E103" s="37">
        <f>$D102*'Коэффициенты (ПС)'!$G$8+Расчет!$D101*'Коэффициенты (ПС)'!$G$9+$D100*'Коэффициенты (ПС)'!$G$10+$D99*'Коэффициенты (ПС)'!$G$11+$D98*'Коэффициенты (ПС)'!$G$12+$D97*'Коэффициенты (ПС)'!$G$13+$D96*'Коэффициенты (ПС)'!$G$14+$D95*'Коэффициенты (ПС)'!$G$15+$D94*'Коэффициенты (ПС)'!$G$16+$D93*'Коэффициенты (ПС)'!$G$17+$D92*'Коэффициенты (ПС)'!$G$18+$D91*'Коэффициенты (ПС)'!$G$19+$D90*'Коэффициенты (ПС)'!$G$20+$D89*'Коэффициенты (ПС)'!$G$21+$D88*'Коэффициенты (ПС)'!$G$22+$D87*'Коэффициенты (ПС)'!$G$23+$D86*'Коэффициенты (ПС)'!$G$24+$D85*'Коэффициенты (ПС)'!$G$25+$D84*'Коэффициенты (ПС)'!$G$26+$D83*'Коэффициенты (ПС)'!$G$27+$D82*'Коэффициенты (ПС)'!$G$28+$D81*'Коэффициенты (ПС)'!$G$29+$D80*'Коэффициенты (ПС)'!$G$30+$D79*'Коэффициенты (ПС)'!$G$31+$D78*'Коэффициенты (ПС)'!$G$32+$D77*'Коэффициенты (ПС)'!$G$33+$D76*'Коэффициенты (ПС)'!$G$34+$D75*'Коэффициенты (ПС)'!$G$35+$D74*'Коэффициенты (ПС)'!$G$36+$D73*'Коэффициенты (ПС)'!$G$37+$D72*'Коэффициенты (ПС)'!$G$38+$D71*'Коэффициенты (ПС)'!$G$39+$D70*'Коэффициенты (ПС)'!$G$40+$D69*'Коэффициенты (ПС)'!$G$41+$D68*'Коэффициенты (ПС)'!$G$42+$D67*'Коэффициенты (ПС)'!$G$43+$D66*'Коэффициенты (ПС)'!$G$44+$D65*'Коэффициенты (ПС)'!$G$45+$D64*'Коэффициенты (ПС)'!$G$46+$D63*'Коэффициенты (ПС)'!$G$47+$D62*'Коэффициенты (ПС)'!$G$48+$D61*'Коэффициенты (ПС)'!$G$49+$D60*'Коэффициенты (ПС)'!$G$50+$D59*'Коэффициенты (ПС)'!$G$51+$D58*'Коэффициенты (ПС)'!$G$52+$D57*'Коэффициенты (ПС)'!$G$53+$D56*'Коэффициенты (ПС)'!$G$54+$D55*'Коэффициенты (ПС)'!$G$55+$D54*'Коэффициенты (ПС)'!$G$56+$D53*'Коэффициенты (ПС)'!$G$57+$D52*'Коэффициенты (ПС)'!$G$58+$D51*'Коэффициенты (ПС)'!$G$59+$D50*'Коэффициенты (ПС)'!$G$60+$D49*'Коэффициенты (ПС)'!$G$61+$D48*'Коэффициенты (ПС)'!$G$62+$D47*'Коэффициенты (ПС)'!$G$63+$D46*'Коэффициенты (ПС)'!$G$64+$D45*'Коэффициенты (ПС)'!$G$65+$D44*'Коэффициенты (ПС)'!$G$66+$D43*'Коэффициенты (ПС)'!$G$67</f>
        <v>2563.8695317661104</v>
      </c>
      <c r="F103" s="37">
        <f>$D102*'Коэффициенты (БЛ)'!$G$7+Расчет!$D101*'Коэффициенты (БЛ)'!$G$8+$D100*'Коэффициенты (БЛ)'!$G$9+$D99*'Коэффициенты (БЛ)'!$G$10+$D98*'Коэффициенты (БЛ)'!$G$11+$D97*'Коэффициенты (БЛ)'!$G$12+$D96*'Коэффициенты (БЛ)'!$G$13+$D95*'Коэффициенты (БЛ)'!$G$14+$D94*'Коэффициенты (БЛ)'!$G$15+$D93*'Коэффициенты (БЛ)'!$G$16+$D92*'Коэффициенты (БЛ)'!$G$17+$D91*'Коэффициенты (БЛ)'!$G$18+$D90*'Коэффициенты (БЛ)'!$G$19+$D89*'Коэффициенты (БЛ)'!$G$20+$D88*'Коэффициенты (БЛ)'!$G$21+$D87*'Коэффициенты (БЛ)'!$G$22+$D86*'Коэффициенты (БЛ)'!$G$23+$D85*'Коэффициенты (БЛ)'!$G$24+$D84*'Коэффициенты (БЛ)'!$G$25+$D83*'Коэффициенты (БЛ)'!$G$26+$D82*'Коэффициенты (БЛ)'!$G$27+$D81*'Коэффициенты (БЛ)'!$G$28+$D80*'Коэффициенты (БЛ)'!$G$29+$D79*'Коэффициенты (БЛ)'!$G$30+$D78*'Коэффициенты (БЛ)'!$G$31+$D77*'Коэффициенты (БЛ)'!$G$32+$D76*'Коэффициенты (БЛ)'!$G$33+$D75*'Коэффициенты (БЛ)'!$G$34+$D74*'Коэффициенты (БЛ)'!$G$35+$D73*'Коэффициенты (БЛ)'!$G$36+$D72*'Коэффициенты (БЛ)'!$G$37+$D71*'Коэффициенты (БЛ)'!$G$38+$D70*'Коэффициенты (БЛ)'!$G$39+$D69*'Коэффициенты (БЛ)'!$G$40+$D68*'Коэффициенты (БЛ)'!$G$41+$D67*'Коэффициенты (БЛ)'!$G$42+$D66*'Коэффициенты (БЛ)'!$G$43+$D65*'Коэффициенты (БЛ)'!$G$44+$D64*'Коэффициенты (БЛ)'!$G$45+$D63*'Коэффициенты (БЛ)'!$G$46+$D62*'Коэффициенты (БЛ)'!$G$47+$D61*'Коэффициенты (БЛ)'!$G$48+$D60*'Коэффициенты (БЛ)'!$G$49+$D59*'Коэффициенты (БЛ)'!$G$50+$D58*'Коэффициенты (БЛ)'!$G$51+$D57*'Коэффициенты (БЛ)'!$G$52+$D56*'Коэффициенты (БЛ)'!$G$53+$D55*'Коэффициенты (БЛ)'!$G$54+$D54*'Коэффициенты (БЛ)'!$G$55+$D53*'Коэффициенты (БЛ)'!$G$56+$D52*'Коэффициенты (БЛ)'!$G$57+$D51*'Коэффициенты (БЛ)'!$G$58+$D50*'Коэффициенты (БЛ)'!$G$59+$D49*'Коэффициенты (БЛ)'!$G$60+$D48*'Коэффициенты (БЛ)'!$G$61+$D47*'Коэффициенты (БЛ)'!$G$62+$D46*'Коэффициенты (БЛ)'!$G$63+$D45*'Коэффициенты (БЛ)'!$G$64+$D44*'Коэффициенты (БЛ)'!$G$65+$D43*'Коэффициенты (БЛ)'!$G$66</f>
        <v>67.099532366327608</v>
      </c>
      <c r="G103" s="43">
        <v>1</v>
      </c>
      <c r="H103" s="43">
        <f t="shared" si="6"/>
        <v>2563.8695317661104</v>
      </c>
      <c r="I103" s="43">
        <f t="shared" si="7"/>
        <v>67.099532366327608</v>
      </c>
    </row>
    <row r="104" spans="2:9" ht="18" customHeight="1" x14ac:dyDescent="0.35">
      <c r="B104" s="49">
        <v>2032</v>
      </c>
      <c r="C104" s="36">
        <v>1</v>
      </c>
      <c r="D104" s="37">
        <f>'Обработка руды'!E78</f>
        <v>0</v>
      </c>
      <c r="E104" s="37">
        <f>$D103*'Коэффициенты (ПС)'!$G$8+Расчет!$D102*'Коэффициенты (ПС)'!$G$9+$D101*'Коэффициенты (ПС)'!$G$10+$D100*'Коэффициенты (ПС)'!$G$11+$D99*'Коэффициенты (ПС)'!$G$12+$D98*'Коэффициенты (ПС)'!$G$13+$D97*'Коэффициенты (ПС)'!$G$14+$D96*'Коэффициенты (ПС)'!$G$15+$D95*'Коэффициенты (ПС)'!$G$16+$D94*'Коэффициенты (ПС)'!$G$17+$D93*'Коэффициенты (ПС)'!$G$18+$D92*'Коэффициенты (ПС)'!$G$19+$D91*'Коэффициенты (ПС)'!$G$20+$D90*'Коэффициенты (ПС)'!$G$21+$D89*'Коэффициенты (ПС)'!$G$22+$D88*'Коэффициенты (ПС)'!$G$23+$D87*'Коэффициенты (ПС)'!$G$24+$D86*'Коэффициенты (ПС)'!$G$25+$D85*'Коэффициенты (ПС)'!$G$26+$D84*'Коэффициенты (ПС)'!$G$27+$D83*'Коэффициенты (ПС)'!$G$28+$D82*'Коэффициенты (ПС)'!$G$29+$D81*'Коэффициенты (ПС)'!$G$30+$D80*'Коэффициенты (ПС)'!$G$31+$D79*'Коэффициенты (ПС)'!$G$32+$D78*'Коэффициенты (ПС)'!$G$33+$D77*'Коэффициенты (ПС)'!$G$34+$D76*'Коэффициенты (ПС)'!$G$35+$D75*'Коэффициенты (ПС)'!$G$36+$D74*'Коэффициенты (ПС)'!$G$37+$D73*'Коэффициенты (ПС)'!$G$38+$D72*'Коэффициенты (ПС)'!$G$39+$D71*'Коэффициенты (ПС)'!$G$40+$D70*'Коэффициенты (ПС)'!$G$41+$D69*'Коэффициенты (ПС)'!$G$42+$D68*'Коэффициенты (ПС)'!$G$43+$D67*'Коэффициенты (ПС)'!$G$44+$D66*'Коэффициенты (ПС)'!$G$45+$D65*'Коэффициенты (ПС)'!$G$46+$D64*'Коэффициенты (ПС)'!$G$47+$D63*'Коэффициенты (ПС)'!$G$48+$D62*'Коэффициенты (ПС)'!$G$49+$D61*'Коэффициенты (ПС)'!$G$50+$D60*'Коэффициенты (ПС)'!$G$51+$D59*'Коэффициенты (ПС)'!$G$52+$D58*'Коэффициенты (ПС)'!$G$53+$D57*'Коэффициенты (ПС)'!$G$54+$D56*'Коэффициенты (ПС)'!$G$55+$D55*'Коэффициенты (ПС)'!$G$56+$D54*'Коэффициенты (ПС)'!$G$57+$D53*'Коэффициенты (ПС)'!$G$58+$D52*'Коэффициенты (ПС)'!$G$59+$D51*'Коэффициенты (ПС)'!$G$60+$D50*'Коэффициенты (ПС)'!$G$61+$D49*'Коэффициенты (ПС)'!$G$62+$D48*'Коэффициенты (ПС)'!$G$63+$D47*'Коэффициенты (ПС)'!$G$64+$D46*'Коэффициенты (ПС)'!$G$65+$D45*'Коэффициенты (ПС)'!$G$66+$D44*'Коэффициенты (ПС)'!$G$67</f>
        <v>3634.2431708440677</v>
      </c>
      <c r="F104" s="37">
        <f>$D103*'Коэффициенты (БЛ)'!$G$7+Расчет!$D102*'Коэффициенты (БЛ)'!$G$8+$D101*'Коэффициенты (БЛ)'!$G$9+$D100*'Коэффициенты (БЛ)'!$G$10+$D99*'Коэффициенты (БЛ)'!$G$11+$D98*'Коэффициенты (БЛ)'!$G$12+$D97*'Коэффициенты (БЛ)'!$G$13+$D96*'Коэффициенты (БЛ)'!$G$14+$D95*'Коэффициенты (БЛ)'!$G$15+$D94*'Коэффициенты (БЛ)'!$G$16+$D93*'Коэффициенты (БЛ)'!$G$17+$D92*'Коэффициенты (БЛ)'!$G$18+$D91*'Коэффициенты (БЛ)'!$G$19+$D90*'Коэффициенты (БЛ)'!$G$20+$D89*'Коэффициенты (БЛ)'!$G$21+$D88*'Коэффициенты (БЛ)'!$G$22+$D87*'Коэффициенты (БЛ)'!$G$23+$D86*'Коэффициенты (БЛ)'!$G$24+$D85*'Коэффициенты (БЛ)'!$G$25+$D84*'Коэффициенты (БЛ)'!$G$26+$D83*'Коэффициенты (БЛ)'!$G$27+$D82*'Коэффициенты (БЛ)'!$G$28+$D81*'Коэффициенты (БЛ)'!$G$29+$D80*'Коэффициенты (БЛ)'!$G$30+$D79*'Коэффициенты (БЛ)'!$G$31+$D78*'Коэффициенты (БЛ)'!$G$32+$D77*'Коэффициенты (БЛ)'!$G$33+$D76*'Коэффициенты (БЛ)'!$G$34+$D75*'Коэффициенты (БЛ)'!$G$35+$D74*'Коэффициенты (БЛ)'!$G$36+$D73*'Коэффициенты (БЛ)'!$G$37+$D72*'Коэффициенты (БЛ)'!$G$38+$D71*'Коэффициенты (БЛ)'!$G$39+$D70*'Коэффициенты (БЛ)'!$G$40+$D69*'Коэффициенты (БЛ)'!$G$41+$D68*'Коэффициенты (БЛ)'!$G$42+$D67*'Коэффициенты (БЛ)'!$G$43+$D66*'Коэффициенты (БЛ)'!$G$44+$D65*'Коэффициенты (БЛ)'!$G$45+$D64*'Коэффициенты (БЛ)'!$G$46+$D63*'Коэффициенты (БЛ)'!$G$47+$D62*'Коэффициенты (БЛ)'!$G$48+$D61*'Коэффициенты (БЛ)'!$G$49+$D60*'Коэффициенты (БЛ)'!$G$50+$D59*'Коэффициенты (БЛ)'!$G$51+$D58*'Коэффициенты (БЛ)'!$G$52+$D57*'Коэффициенты (БЛ)'!$G$53+$D56*'Коэффициенты (БЛ)'!$G$54+$D55*'Коэффициенты (БЛ)'!$G$55+$D54*'Коэффициенты (БЛ)'!$G$56+$D53*'Коэффициенты (БЛ)'!$G$57+$D52*'Коэффициенты (БЛ)'!$G$58+$D51*'Коэффициенты (БЛ)'!$G$59+$D50*'Коэффициенты (БЛ)'!$G$60+$D49*'Коэффициенты (БЛ)'!$G$61+$D48*'Коэффициенты (БЛ)'!$G$62+$D47*'Коэффициенты (БЛ)'!$G$63+$D46*'Коэффициенты (БЛ)'!$G$64+$D45*'Коэффициенты (БЛ)'!$G$65+$D44*'Коэффициенты (БЛ)'!$G$66</f>
        <v>95.112490806494932</v>
      </c>
      <c r="G104" s="43">
        <v>1</v>
      </c>
      <c r="H104" s="43">
        <f t="shared" si="6"/>
        <v>3634.2431708440677</v>
      </c>
      <c r="I104" s="43">
        <f t="shared" si="7"/>
        <v>95.112490806494932</v>
      </c>
    </row>
    <row r="105" spans="2:9" ht="18" customHeight="1" x14ac:dyDescent="0.35">
      <c r="B105" s="49"/>
      <c r="C105" s="36">
        <v>2</v>
      </c>
      <c r="D105" s="37">
        <f>'Обработка руды'!E79</f>
        <v>68556.565632665937</v>
      </c>
      <c r="E105" s="37">
        <f>$D104*'Коэффициенты (ПС)'!$G$8+Расчет!$D103*'Коэффициенты (ПС)'!$G$9+$D102*'Коэффициенты (ПС)'!$G$10+$D101*'Коэффициенты (ПС)'!$G$11+$D100*'Коэффициенты (ПС)'!$G$12+$D99*'Коэффициенты (ПС)'!$G$13+$D98*'Коэффициенты (ПС)'!$G$14+$D97*'Коэффициенты (ПС)'!$G$15+$D96*'Коэффициенты (ПС)'!$G$16+$D95*'Коэффициенты (ПС)'!$G$17+$D94*'Коэффициенты (ПС)'!$G$18+$D93*'Коэффициенты (ПС)'!$G$19+$D92*'Коэффициенты (ПС)'!$G$20+$D91*'Коэффициенты (ПС)'!$G$21+$D90*'Коэффициенты (ПС)'!$G$22+$D89*'Коэффициенты (ПС)'!$G$23+$D88*'Коэффициенты (ПС)'!$G$24+$D87*'Коэффициенты (ПС)'!$G$25+$D86*'Коэффициенты (ПС)'!$G$26+$D85*'Коэффициенты (ПС)'!$G$27+$D84*'Коэффициенты (ПС)'!$G$28+$D83*'Коэффициенты (ПС)'!$G$29+$D82*'Коэффициенты (ПС)'!$G$30+$D81*'Коэффициенты (ПС)'!$G$31+$D80*'Коэффициенты (ПС)'!$G$32+$D79*'Коэффициенты (ПС)'!$G$33+$D78*'Коэффициенты (ПС)'!$G$34+$D77*'Коэффициенты (ПС)'!$G$35+$D76*'Коэффициенты (ПС)'!$G$36+$D75*'Коэффициенты (ПС)'!$G$37+$D74*'Коэффициенты (ПС)'!$G$38+$D73*'Коэффициенты (ПС)'!$G$39+$D72*'Коэффициенты (ПС)'!$G$40+$D71*'Коэффициенты (ПС)'!$G$41+$D70*'Коэффициенты (ПС)'!$G$42+$D69*'Коэффициенты (ПС)'!$G$43+$D68*'Коэффициенты (ПС)'!$G$44+$D67*'Коэффициенты (ПС)'!$G$45+$D66*'Коэффициенты (ПС)'!$G$46+$D65*'Коэффициенты (ПС)'!$G$47+$D64*'Коэффициенты (ПС)'!$G$48+$D63*'Коэффициенты (ПС)'!$G$49+$D62*'Коэффициенты (ПС)'!$G$50+$D61*'Коэффициенты (ПС)'!$G$51+$D60*'Коэффициенты (ПС)'!$G$52+$D59*'Коэффициенты (ПС)'!$G$53+$D58*'Коэффициенты (ПС)'!$G$54+$D57*'Коэффициенты (ПС)'!$G$55+$D56*'Коэффициенты (ПС)'!$G$56+$D55*'Коэффициенты (ПС)'!$G$57+$D54*'Коэффициенты (ПС)'!$G$58+$D53*'Коэффициенты (ПС)'!$G$59+$D52*'Коэффициенты (ПС)'!$G$60+$D51*'Коэффициенты (ПС)'!$G$61+$D50*'Коэффициенты (ПС)'!$G$62+$D49*'Коэффициенты (ПС)'!$G$63+$D48*'Коэффициенты (ПС)'!$G$64+$D47*'Коэффициенты (ПС)'!$G$65+$D46*'Коэффициенты (ПС)'!$G$66+$D45*'Коэффициенты (ПС)'!$G$67</f>
        <v>2388.1905712885873</v>
      </c>
      <c r="F105" s="37">
        <f>$D104*'Коэффициенты (БЛ)'!$G$7+Расчет!$D103*'Коэффициенты (БЛ)'!$G$8+$D102*'Коэффициенты (БЛ)'!$G$9+$D101*'Коэффициенты (БЛ)'!$G$10+$D100*'Коэффициенты (БЛ)'!$G$11+$D99*'Коэффициенты (БЛ)'!$G$12+$D98*'Коэффициенты (БЛ)'!$G$13+$D97*'Коэффициенты (БЛ)'!$G$14+$D96*'Коэффициенты (БЛ)'!$G$15+$D95*'Коэффициенты (БЛ)'!$G$16+$D94*'Коэффициенты (БЛ)'!$G$17+$D93*'Коэффициенты (БЛ)'!$G$18+$D92*'Коэффициенты (БЛ)'!$G$19+$D91*'Коэффициенты (БЛ)'!$G$20+$D90*'Коэффициенты (БЛ)'!$G$21+$D89*'Коэффициенты (БЛ)'!$G$22+$D88*'Коэффициенты (БЛ)'!$G$23+$D87*'Коэффициенты (БЛ)'!$G$24+$D86*'Коэффициенты (БЛ)'!$G$25+$D85*'Коэффициенты (БЛ)'!$G$26+$D84*'Коэффициенты (БЛ)'!$G$27+$D83*'Коэффициенты (БЛ)'!$G$28+$D82*'Коэффициенты (БЛ)'!$G$29+$D81*'Коэффициенты (БЛ)'!$G$30+$D80*'Коэффициенты (БЛ)'!$G$31+$D79*'Коэффициенты (БЛ)'!$G$32+$D78*'Коэффициенты (БЛ)'!$G$33+$D77*'Коэффициенты (БЛ)'!$G$34+$D76*'Коэффициенты (БЛ)'!$G$35+$D75*'Коэффициенты (БЛ)'!$G$36+$D74*'Коэффициенты (БЛ)'!$G$37+$D73*'Коэффициенты (БЛ)'!$G$38+$D72*'Коэффициенты (БЛ)'!$G$39+$D71*'Коэффициенты (БЛ)'!$G$40+$D70*'Коэффициенты (БЛ)'!$G$41+$D69*'Коэффициенты (БЛ)'!$G$42+$D68*'Коэффициенты (БЛ)'!$G$43+$D67*'Коэффициенты (БЛ)'!$G$44+$D66*'Коэффициенты (БЛ)'!$G$45+$D65*'Коэффициенты (БЛ)'!$G$46+$D64*'Коэффициенты (БЛ)'!$G$47+$D63*'Коэффициенты (БЛ)'!$G$48+$D62*'Коэффициенты (БЛ)'!$G$49+$D61*'Коэффициенты (БЛ)'!$G$50+$D60*'Коэффициенты (БЛ)'!$G$51+$D59*'Коэффициенты (БЛ)'!$G$52+$D58*'Коэффициенты (БЛ)'!$G$53+$D57*'Коэффициенты (БЛ)'!$G$54+$D56*'Коэффициенты (БЛ)'!$G$55+$D55*'Коэффициенты (БЛ)'!$G$56+$D54*'Коэффициенты (БЛ)'!$G$57+$D53*'Коэффициенты (БЛ)'!$G$58+$D52*'Коэффициенты (БЛ)'!$G$59+$D51*'Коэффициенты (БЛ)'!$G$60+$D50*'Коэффициенты (БЛ)'!$G$61+$D49*'Коэффициенты (БЛ)'!$G$62+$D48*'Коэффициенты (БЛ)'!$G$63+$D47*'Коэффициенты (БЛ)'!$G$64+$D46*'Коэффициенты (БЛ)'!$G$65+$D45*'Коэффициенты (БЛ)'!$G$66</f>
        <v>62.501803835841855</v>
      </c>
      <c r="G105" s="43">
        <v>1</v>
      </c>
      <c r="H105" s="43">
        <f t="shared" si="6"/>
        <v>2388.1905712885873</v>
      </c>
      <c r="I105" s="43">
        <f t="shared" si="7"/>
        <v>62.501803835841855</v>
      </c>
    </row>
    <row r="106" spans="2:9" ht="18" customHeight="1" x14ac:dyDescent="0.35">
      <c r="B106" s="49"/>
      <c r="C106" s="36">
        <v>3</v>
      </c>
      <c r="D106" s="37">
        <f>'Обработка руды'!E80</f>
        <v>0</v>
      </c>
      <c r="E106" s="37">
        <f>$D105*'Коэффициенты (ПС)'!$G$8+Расчет!$D104*'Коэффициенты (ПС)'!$G$9+$D103*'Коэффициенты (ПС)'!$G$10+$D102*'Коэффициенты (ПС)'!$G$11+$D101*'Коэффициенты (ПС)'!$G$12+$D100*'Коэффициенты (ПС)'!$G$13+$D99*'Коэффициенты (ПС)'!$G$14+$D98*'Коэффициенты (ПС)'!$G$15+$D97*'Коэффициенты (ПС)'!$G$16+$D96*'Коэффициенты (ПС)'!$G$17+$D95*'Коэффициенты (ПС)'!$G$18+$D94*'Коэффициенты (ПС)'!$G$19+$D93*'Коэффициенты (ПС)'!$G$20+$D92*'Коэффициенты (ПС)'!$G$21+$D91*'Коэффициенты (ПС)'!$G$22+$D90*'Коэффициенты (ПС)'!$G$23+$D89*'Коэффициенты (ПС)'!$G$24+$D88*'Коэффициенты (ПС)'!$G$25+$D87*'Коэффициенты (ПС)'!$G$26+$D86*'Коэффициенты (ПС)'!$G$27+$D85*'Коэффициенты (ПС)'!$G$28+$D84*'Коэффициенты (ПС)'!$G$29+$D83*'Коэффициенты (ПС)'!$G$30+$D82*'Коэффициенты (ПС)'!$G$31+$D81*'Коэффициенты (ПС)'!$G$32+$D80*'Коэффициенты (ПС)'!$G$33+$D79*'Коэффициенты (ПС)'!$G$34+$D78*'Коэффициенты (ПС)'!$G$35+$D77*'Коэффициенты (ПС)'!$G$36+$D76*'Коэффициенты (ПС)'!$G$37+$D75*'Коэффициенты (ПС)'!$G$38+$D74*'Коэффициенты (ПС)'!$G$39+$D73*'Коэффициенты (ПС)'!$G$40+$D72*'Коэффициенты (ПС)'!$G$41+$D71*'Коэффициенты (ПС)'!$G$42+$D70*'Коэффициенты (ПС)'!$G$43+$D69*'Коэффициенты (ПС)'!$G$44+$D68*'Коэффициенты (ПС)'!$G$45+$D67*'Коэффициенты (ПС)'!$G$46+$D66*'Коэффициенты (ПС)'!$G$47+$D65*'Коэффициенты (ПС)'!$G$48+$D64*'Коэффициенты (ПС)'!$G$49+$D63*'Коэффициенты (ПС)'!$G$50+$D62*'Коэффициенты (ПС)'!$G$51+$D61*'Коэффициенты (ПС)'!$G$52+$D60*'Коэффициенты (ПС)'!$G$53+$D59*'Коэффициенты (ПС)'!$G$54+$D58*'Коэффициенты (ПС)'!$G$55+$D57*'Коэффициенты (ПС)'!$G$56+$D56*'Коэффициенты (ПС)'!$G$57+$D55*'Коэффициенты (ПС)'!$G$58+$D54*'Коэффициенты (ПС)'!$G$59+$D53*'Коэффициенты (ПС)'!$G$60+$D52*'Коэффициенты (ПС)'!$G$61+$D51*'Коэффициенты (ПС)'!$G$62+$D50*'Коэффициенты (ПС)'!$G$63+$D49*'Коэффициенты (ПС)'!$G$64+$D48*'Коэффициенты (ПС)'!$G$65+$D47*'Коэффициенты (ПС)'!$G$66+$D46*'Коэффициенты (ПС)'!$G$67</f>
        <v>2967.7075888733402</v>
      </c>
      <c r="F106" s="37">
        <f>$D105*'Коэффициенты (БЛ)'!$G$7+Расчет!$D104*'Коэффициенты (БЛ)'!$G$8+$D103*'Коэффициенты (БЛ)'!$G$9+$D102*'Коэффициенты (БЛ)'!$G$10+$D101*'Коэффициенты (БЛ)'!$G$11+$D100*'Коэффициенты (БЛ)'!$G$12+$D99*'Коэффициенты (БЛ)'!$G$13+$D98*'Коэффициенты (БЛ)'!$G$14+$D97*'Коэффициенты (БЛ)'!$G$15+$D96*'Коэффициенты (БЛ)'!$G$16+$D95*'Коэффициенты (БЛ)'!$G$17+$D94*'Коэффициенты (БЛ)'!$G$18+$D93*'Коэффициенты (БЛ)'!$G$19+$D92*'Коэффициенты (БЛ)'!$G$20+$D91*'Коэффициенты (БЛ)'!$G$21+$D90*'Коэффициенты (БЛ)'!$G$22+$D89*'Коэффициенты (БЛ)'!$G$23+$D88*'Коэффициенты (БЛ)'!$G$24+$D87*'Коэффициенты (БЛ)'!$G$25+$D86*'Коэффициенты (БЛ)'!$G$26+$D85*'Коэффициенты (БЛ)'!$G$27+$D84*'Коэффициенты (БЛ)'!$G$28+$D83*'Коэффициенты (БЛ)'!$G$29+$D82*'Коэффициенты (БЛ)'!$G$30+$D81*'Коэффициенты (БЛ)'!$G$31+$D80*'Коэффициенты (БЛ)'!$G$32+$D79*'Коэффициенты (БЛ)'!$G$33+$D78*'Коэффициенты (БЛ)'!$G$34+$D77*'Коэффициенты (БЛ)'!$G$35+$D76*'Коэффициенты (БЛ)'!$G$36+$D75*'Коэффициенты (БЛ)'!$G$37+$D74*'Коэффициенты (БЛ)'!$G$38+$D73*'Коэффициенты (БЛ)'!$G$39+$D72*'Коэффициенты (БЛ)'!$G$40+$D71*'Коэффициенты (БЛ)'!$G$41+$D70*'Коэффициенты (БЛ)'!$G$42+$D69*'Коэффициенты (БЛ)'!$G$43+$D68*'Коэффициенты (БЛ)'!$G$44+$D67*'Коэффициенты (БЛ)'!$G$45+$D66*'Коэффициенты (БЛ)'!$G$46+$D65*'Коэффициенты (БЛ)'!$G$47+$D64*'Коэффициенты (БЛ)'!$G$48+$D63*'Коэффициенты (БЛ)'!$G$49+$D62*'Коэффициенты (БЛ)'!$G$50+$D61*'Коэффициенты (БЛ)'!$G$51+$D60*'Коэффициенты (БЛ)'!$G$52+$D59*'Коэффициенты (БЛ)'!$G$53+$D58*'Коэффициенты (БЛ)'!$G$54+$D57*'Коэффициенты (БЛ)'!$G$55+$D56*'Коэффициенты (БЛ)'!$G$56+$D55*'Коэффициенты (БЛ)'!$G$57+$D54*'Коэффициенты (БЛ)'!$G$58+$D53*'Коэффициенты (БЛ)'!$G$59+$D52*'Коэффициенты (БЛ)'!$G$60+$D51*'Коэффициенты (БЛ)'!$G$61+$D50*'Коэффициенты (БЛ)'!$G$62+$D49*'Коэффициенты (БЛ)'!$G$63+$D48*'Коэффициенты (БЛ)'!$G$64+$D47*'Коэффициенты (БЛ)'!$G$65+$D46*'Коэффициенты (БЛ)'!$G$66</f>
        <v>77.668457363441433</v>
      </c>
      <c r="G106" s="43">
        <v>1</v>
      </c>
      <c r="H106" s="43">
        <f t="shared" si="6"/>
        <v>2967.7075888733402</v>
      </c>
      <c r="I106" s="43">
        <f t="shared" si="7"/>
        <v>77.668457363441433</v>
      </c>
    </row>
    <row r="107" spans="2:9" ht="18" customHeight="1" x14ac:dyDescent="0.35">
      <c r="B107" s="49"/>
      <c r="C107" s="36">
        <v>4</v>
      </c>
      <c r="D107" s="37">
        <f>'Обработка руды'!E81</f>
        <v>0</v>
      </c>
      <c r="E107" s="37">
        <f>$D106*'Коэффициенты (ПС)'!$G$8+Расчет!$D105*'Коэффициенты (ПС)'!$G$9+$D104*'Коэффициенты (ПС)'!$G$10+$D103*'Коэффициенты (ПС)'!$G$11+$D102*'Коэффициенты (ПС)'!$G$12+$D101*'Коэффициенты (ПС)'!$G$13+$D100*'Коэффициенты (ПС)'!$G$14+$D99*'Коэффициенты (ПС)'!$G$15+$D98*'Коэффициенты (ПС)'!$G$16+$D97*'Коэффициенты (ПС)'!$G$17+$D96*'Коэффициенты (ПС)'!$G$18+$D95*'Коэффициенты (ПС)'!$G$19+$D94*'Коэффициенты (ПС)'!$G$20+$D93*'Коэффициенты (ПС)'!$G$21+$D92*'Коэффициенты (ПС)'!$G$22+$D91*'Коэффициенты (ПС)'!$G$23+$D90*'Коэффициенты (ПС)'!$G$24+$D89*'Коэффициенты (ПС)'!$G$25+$D88*'Коэффициенты (ПС)'!$G$26+$D87*'Коэффициенты (ПС)'!$G$27+$D86*'Коэффициенты (ПС)'!$G$28+$D85*'Коэффициенты (ПС)'!$G$29+$D84*'Коэффициенты (ПС)'!$G$30+$D83*'Коэффициенты (ПС)'!$G$31+$D82*'Коэффициенты (ПС)'!$G$32+$D81*'Коэффициенты (ПС)'!$G$33+$D80*'Коэффициенты (ПС)'!$G$34+$D79*'Коэффициенты (ПС)'!$G$35+$D78*'Коэффициенты (ПС)'!$G$36+$D77*'Коэффициенты (ПС)'!$G$37+$D76*'Коэффициенты (ПС)'!$G$38+$D75*'Коэффициенты (ПС)'!$G$39+$D74*'Коэффициенты (ПС)'!$G$40+$D73*'Коэффициенты (ПС)'!$G$41+$D72*'Коэффициенты (ПС)'!$G$42+$D71*'Коэффициенты (ПС)'!$G$43+$D70*'Коэффициенты (ПС)'!$G$44+$D69*'Коэффициенты (ПС)'!$G$45+$D68*'Коэффициенты (ПС)'!$G$46+$D67*'Коэффициенты (ПС)'!$G$47+$D66*'Коэффициенты (ПС)'!$G$48+$D65*'Коэффициенты (ПС)'!$G$49+$D64*'Коэффициенты (ПС)'!$G$50+$D63*'Коэффициенты (ПС)'!$G$51+$D62*'Коэффициенты (ПС)'!$G$52+$D61*'Коэффициенты (ПС)'!$G$53+$D60*'Коэффициенты (ПС)'!$G$54+$D59*'Коэффициенты (ПС)'!$G$55+$D58*'Коэффициенты (ПС)'!$G$56+$D57*'Коэффициенты (ПС)'!$G$57+$D56*'Коэффициенты (ПС)'!$G$58+$D55*'Коэффициенты (ПС)'!$G$59+$D54*'Коэффициенты (ПС)'!$G$60+$D53*'Коэффициенты (ПС)'!$G$61+$D52*'Коэффициенты (ПС)'!$G$62+$D51*'Коэффициенты (ПС)'!$G$63+$D50*'Коэффициенты (ПС)'!$G$64+$D49*'Коэффициенты (ПС)'!$G$65+$D48*'Коэффициенты (ПС)'!$G$66+$D47*'Коэффициенты (ПС)'!$G$67</f>
        <v>2289.8014973554205</v>
      </c>
      <c r="F107" s="37">
        <f>$D106*'Коэффициенты (БЛ)'!$G$7+Расчет!$D105*'Коэффициенты (БЛ)'!$G$8+$D104*'Коэффициенты (БЛ)'!$G$9+$D103*'Коэффициенты (БЛ)'!$G$10+$D102*'Коэффициенты (БЛ)'!$G$11+$D101*'Коэффициенты (БЛ)'!$G$12+$D100*'Коэффициенты (БЛ)'!$G$13+$D99*'Коэффициенты (БЛ)'!$G$14+$D98*'Коэффициенты (БЛ)'!$G$15+$D97*'Коэффициенты (БЛ)'!$G$16+$D96*'Коэффициенты (БЛ)'!$G$17+$D95*'Коэффициенты (БЛ)'!$G$18+$D94*'Коэффициенты (БЛ)'!$G$19+$D93*'Коэффициенты (БЛ)'!$G$20+$D92*'Коэффициенты (БЛ)'!$G$21+$D91*'Коэффициенты (БЛ)'!$G$22+$D90*'Коэффициенты (БЛ)'!$G$23+$D89*'Коэффициенты (БЛ)'!$G$24+$D88*'Коэффициенты (БЛ)'!$G$25+$D87*'Коэффициенты (БЛ)'!$G$26+$D86*'Коэффициенты (БЛ)'!$G$27+$D85*'Коэффициенты (БЛ)'!$G$28+$D84*'Коэффициенты (БЛ)'!$G$29+$D83*'Коэффициенты (БЛ)'!$G$30+$D82*'Коэффициенты (БЛ)'!$G$31+$D81*'Коэффициенты (БЛ)'!$G$32+$D80*'Коэффициенты (БЛ)'!$G$33+$D79*'Коэффициенты (БЛ)'!$G$34+$D78*'Коэффициенты (БЛ)'!$G$35+$D77*'Коэффициенты (БЛ)'!$G$36+$D76*'Коэффициенты (БЛ)'!$G$37+$D75*'Коэффициенты (БЛ)'!$G$38+$D74*'Коэффициенты (БЛ)'!$G$39+$D73*'Коэффициенты (БЛ)'!$G$40+$D72*'Коэффициенты (БЛ)'!$G$41+$D71*'Коэффициенты (БЛ)'!$G$42+$D70*'Коэффициенты (БЛ)'!$G$43+$D69*'Коэффициенты (БЛ)'!$G$44+$D68*'Коэффициенты (БЛ)'!$G$45+$D67*'Коэффициенты (БЛ)'!$G$46+$D66*'Коэффициенты (БЛ)'!$G$47+$D65*'Коэффициенты (БЛ)'!$G$48+$D64*'Коэффициенты (БЛ)'!$G$49+$D63*'Коэффициенты (БЛ)'!$G$50+$D62*'Коэффициенты (БЛ)'!$G$51+$D61*'Коэффициенты (БЛ)'!$G$52+$D60*'Коэффициенты (БЛ)'!$G$53+$D59*'Коэффициенты (БЛ)'!$G$54+$D58*'Коэффициенты (БЛ)'!$G$55+$D57*'Коэффициенты (БЛ)'!$G$56+$D56*'Коэффициенты (БЛ)'!$G$57+$D55*'Коэффициенты (БЛ)'!$G$58+$D54*'Коэффициенты (БЛ)'!$G$59+$D53*'Коэффициенты (БЛ)'!$G$60+$D52*'Коэффициенты (БЛ)'!$G$61+$D51*'Коэффициенты (БЛ)'!$G$62+$D50*'Коэффициенты (БЛ)'!$G$63+$D49*'Коэффициенты (БЛ)'!$G$64+$D48*'Коэффициенты (БЛ)'!$G$65+$D47*'Коэффициенты (БЛ)'!$G$66</f>
        <v>59.926844084935951</v>
      </c>
      <c r="G107" s="43">
        <v>1</v>
      </c>
      <c r="H107" s="43">
        <f t="shared" si="6"/>
        <v>2289.8014973554205</v>
      </c>
      <c r="I107" s="43">
        <f t="shared" si="7"/>
        <v>59.926844084935951</v>
      </c>
    </row>
    <row r="108" spans="2:9" ht="18" customHeight="1" x14ac:dyDescent="0.35">
      <c r="B108" s="49"/>
      <c r="C108" s="36">
        <v>5</v>
      </c>
      <c r="D108" s="37">
        <f>'Обработка руды'!E82</f>
        <v>0</v>
      </c>
      <c r="E108" s="37">
        <f>$D107*'Коэффициенты (ПС)'!$G$8+Расчет!$D106*'Коэффициенты (ПС)'!$G$9+$D105*'Коэффициенты (ПС)'!$G$10+$D104*'Коэффициенты (ПС)'!$G$11+$D103*'Коэффициенты (ПС)'!$G$12+$D102*'Коэффициенты (ПС)'!$G$13+$D101*'Коэффициенты (ПС)'!$G$14+$D100*'Коэффициенты (ПС)'!$G$15+$D99*'Коэффициенты (ПС)'!$G$16+$D98*'Коэффициенты (ПС)'!$G$17+$D97*'Коэффициенты (ПС)'!$G$18+$D96*'Коэффициенты (ПС)'!$G$19+$D95*'Коэффициенты (ПС)'!$G$20+$D94*'Коэффициенты (ПС)'!$G$21+$D93*'Коэффициенты (ПС)'!$G$22+$D92*'Коэффициенты (ПС)'!$G$23+$D91*'Коэффициенты (ПС)'!$G$24+$D90*'Коэффициенты (ПС)'!$G$25+$D89*'Коэффициенты (ПС)'!$G$26+$D88*'Коэффициенты (ПС)'!$G$27+$D87*'Коэффициенты (ПС)'!$G$28+$D86*'Коэффициенты (ПС)'!$G$29+$D85*'Коэффициенты (ПС)'!$G$30+$D84*'Коэффициенты (ПС)'!$G$31+$D83*'Коэффициенты (ПС)'!$G$32+$D82*'Коэффициенты (ПС)'!$G$33+$D81*'Коэффициенты (ПС)'!$G$34+$D80*'Коэффициенты (ПС)'!$G$35+$D79*'Коэффициенты (ПС)'!$G$36+$D78*'Коэффициенты (ПС)'!$G$37+$D77*'Коэффициенты (ПС)'!$G$38+$D76*'Коэффициенты (ПС)'!$G$39+$D75*'Коэффициенты (ПС)'!$G$40+$D74*'Коэффициенты (ПС)'!$G$41+$D73*'Коэффициенты (ПС)'!$G$42+$D72*'Коэффициенты (ПС)'!$G$43+$D71*'Коэффициенты (ПС)'!$G$44+$D70*'Коэффициенты (ПС)'!$G$45+$D69*'Коэффициенты (ПС)'!$G$46+$D68*'Коэффициенты (ПС)'!$G$47+$D67*'Коэффициенты (ПС)'!$G$48+$D66*'Коэффициенты (ПС)'!$G$49+$D65*'Коэффициенты (ПС)'!$G$50+$D64*'Коэффициенты (ПС)'!$G$51+$D63*'Коэффициенты (ПС)'!$G$52+$D62*'Коэффициенты (ПС)'!$G$53+$D61*'Коэффициенты (ПС)'!$G$54+$D60*'Коэффициенты (ПС)'!$G$55+$D59*'Коэффициенты (ПС)'!$G$56+$D58*'Коэффициенты (ПС)'!$G$57+$D57*'Коэффициенты (ПС)'!$G$58+$D56*'Коэффициенты (ПС)'!$G$59+$D55*'Коэффициенты (ПС)'!$G$60+$D54*'Коэффициенты (ПС)'!$G$61+$D53*'Коэффициенты (ПС)'!$G$62+$D52*'Коэффициенты (ПС)'!$G$63+$D51*'Коэффициенты (ПС)'!$G$64+$D50*'Коэффициенты (ПС)'!$G$65+$D49*'Коэффициенты (ПС)'!$G$66+$D48*'Коэффициенты (ПС)'!$G$67</f>
        <v>2191.8115948651894</v>
      </c>
      <c r="F108" s="37">
        <f>$D107*'Коэффициенты (БЛ)'!$G$7+Расчет!$D106*'Коэффициенты (БЛ)'!$G$8+$D105*'Коэффициенты (БЛ)'!$G$9+$D104*'Коэффициенты (БЛ)'!$G$10+$D103*'Коэффициенты (БЛ)'!$G$11+$D102*'Коэффициенты (БЛ)'!$G$12+$D101*'Коэффициенты (БЛ)'!$G$13+$D100*'Коэффициенты (БЛ)'!$G$14+$D99*'Коэффициенты (БЛ)'!$G$15+$D98*'Коэффициенты (БЛ)'!$G$16+$D97*'Коэффициенты (БЛ)'!$G$17+$D96*'Коэффициенты (БЛ)'!$G$18+$D95*'Коэффициенты (БЛ)'!$G$19+$D94*'Коэффициенты (БЛ)'!$G$20+$D93*'Коэффициенты (БЛ)'!$G$21+$D92*'Коэффициенты (БЛ)'!$G$22+$D91*'Коэффициенты (БЛ)'!$G$23+$D90*'Коэффициенты (БЛ)'!$G$24+$D89*'Коэффициенты (БЛ)'!$G$25+$D88*'Коэффициенты (БЛ)'!$G$26+$D87*'Коэффициенты (БЛ)'!$G$27+$D86*'Коэффициенты (БЛ)'!$G$28+$D85*'Коэффициенты (БЛ)'!$G$29+$D84*'Коэффициенты (БЛ)'!$G$30+$D83*'Коэффициенты (БЛ)'!$G$31+$D82*'Коэффициенты (БЛ)'!$G$32+$D81*'Коэффициенты (БЛ)'!$G$33+$D80*'Коэффициенты (БЛ)'!$G$34+$D79*'Коэффициенты (БЛ)'!$G$35+$D78*'Коэффициенты (БЛ)'!$G$36+$D77*'Коэффициенты (БЛ)'!$G$37+$D76*'Коэффициенты (БЛ)'!$G$38+$D75*'Коэффициенты (БЛ)'!$G$39+$D74*'Коэффициенты (БЛ)'!$G$40+$D73*'Коэффициенты (БЛ)'!$G$41+$D72*'Коэффициенты (БЛ)'!$G$42+$D71*'Коэффициенты (БЛ)'!$G$43+$D70*'Коэффициенты (БЛ)'!$G$44+$D69*'Коэффициенты (БЛ)'!$G$45+$D68*'Коэффициенты (БЛ)'!$G$46+$D67*'Коэффициенты (БЛ)'!$G$47+$D66*'Коэффициенты (БЛ)'!$G$48+$D65*'Коэффициенты (БЛ)'!$G$49+$D64*'Коэффициенты (БЛ)'!$G$50+$D63*'Коэффициенты (БЛ)'!$G$51+$D62*'Коэффициенты (БЛ)'!$G$52+$D61*'Коэффициенты (БЛ)'!$G$53+$D60*'Коэффициенты (БЛ)'!$G$54+$D59*'Коэффициенты (БЛ)'!$G$55+$D58*'Коэффициенты (БЛ)'!$G$56+$D57*'Коэффициенты (БЛ)'!$G$57+$D56*'Коэффициенты (БЛ)'!$G$58+$D55*'Коэффициенты (БЛ)'!$G$59+$D54*'Коэффициенты (БЛ)'!$G$60+$D53*'Коэффициенты (БЛ)'!$G$61+$D52*'Коэффициенты (БЛ)'!$G$62+$D51*'Коэффициенты (БЛ)'!$G$63+$D50*'Коэффициенты (БЛ)'!$G$64+$D49*'Коэффициенты (БЛ)'!$G$65+$D48*'Коэффициенты (БЛ)'!$G$66</f>
        <v>57.362331128152434</v>
      </c>
      <c r="G108" s="43">
        <v>1</v>
      </c>
      <c r="H108" s="43">
        <f t="shared" si="6"/>
        <v>2191.8115948651894</v>
      </c>
      <c r="I108" s="43">
        <f t="shared" si="7"/>
        <v>57.362331128152434</v>
      </c>
    </row>
    <row r="109" spans="2:9" ht="18" customHeight="1" x14ac:dyDescent="0.35">
      <c r="B109" s="49"/>
      <c r="C109" s="36">
        <v>6</v>
      </c>
      <c r="D109" s="37">
        <f>'Обработка руды'!E83</f>
        <v>0</v>
      </c>
      <c r="E109" s="37">
        <f>$D108*'Коэффициенты (ПС)'!$G$8+Расчет!$D107*'Коэффициенты (ПС)'!$G$9+$D106*'Коэффициенты (ПС)'!$G$10+$D105*'Коэффициенты (ПС)'!$G$11+$D104*'Коэффициенты (ПС)'!$G$12+$D103*'Коэффициенты (ПС)'!$G$13+$D102*'Коэффициенты (ПС)'!$G$14+$D101*'Коэффициенты (ПС)'!$G$15+$D100*'Коэффициенты (ПС)'!$G$16+$D99*'Коэффициенты (ПС)'!$G$17+$D98*'Коэффициенты (ПС)'!$G$18+$D97*'Коэффициенты (ПС)'!$G$19+$D96*'Коэффициенты (ПС)'!$G$20+$D95*'Коэффициенты (ПС)'!$G$21+$D94*'Коэффициенты (ПС)'!$G$22+$D93*'Коэффициенты (ПС)'!$G$23+$D92*'Коэффициенты (ПС)'!$G$24+$D91*'Коэффициенты (ПС)'!$G$25+$D90*'Коэффициенты (ПС)'!$G$26+$D89*'Коэффициенты (ПС)'!$G$27+$D88*'Коэффициенты (ПС)'!$G$28+$D87*'Коэффициенты (ПС)'!$G$29+$D86*'Коэффициенты (ПС)'!$G$30+$D85*'Коэффициенты (ПС)'!$G$31+$D84*'Коэффициенты (ПС)'!$G$32+$D83*'Коэффициенты (ПС)'!$G$33+$D82*'Коэффициенты (ПС)'!$G$34+$D81*'Коэффициенты (ПС)'!$G$35+$D80*'Коэффициенты (ПС)'!$G$36+$D79*'Коэффициенты (ПС)'!$G$37+$D78*'Коэффициенты (ПС)'!$G$38+$D77*'Коэффициенты (ПС)'!$G$39+$D76*'Коэффициенты (ПС)'!$G$40+$D75*'Коэффициенты (ПС)'!$G$41+$D74*'Коэффициенты (ПС)'!$G$42+$D73*'Коэффициенты (ПС)'!$G$43+$D72*'Коэффициенты (ПС)'!$G$44+$D71*'Коэффициенты (ПС)'!$G$45+$D70*'Коэффициенты (ПС)'!$G$46+$D69*'Коэффициенты (ПС)'!$G$47+$D68*'Коэффициенты (ПС)'!$G$48+$D67*'Коэффициенты (ПС)'!$G$49+$D66*'Коэффициенты (ПС)'!$G$50+$D65*'Коэффициенты (ПС)'!$G$51+$D64*'Коэффициенты (ПС)'!$G$52+$D63*'Коэффициенты (ПС)'!$G$53+$D62*'Коэффициенты (ПС)'!$G$54+$D61*'Коэффициенты (ПС)'!$G$55+$D60*'Коэффициенты (ПС)'!$G$56+$D59*'Коэффициенты (ПС)'!$G$57+$D58*'Коэффициенты (ПС)'!$G$58+$D57*'Коэффициенты (ПС)'!$G$59+$D56*'Коэффициенты (ПС)'!$G$60+$D55*'Коэффициенты (ПС)'!$G$61+$D54*'Коэффициенты (ПС)'!$G$62+$D53*'Коэффициенты (ПС)'!$G$63+$D52*'Коэффициенты (ПС)'!$G$64+$D51*'Коэффициенты (ПС)'!$G$65+$D50*'Коэффициенты (ПС)'!$G$66+$D49*'Коэффициенты (ПС)'!$G$67</f>
        <v>2034.5685017808887</v>
      </c>
      <c r="F109" s="37">
        <f>$D108*'Коэффициенты (БЛ)'!$G$7+Расчет!$D107*'Коэффициенты (БЛ)'!$G$8+$D106*'Коэффициенты (БЛ)'!$G$9+$D105*'Коэффициенты (БЛ)'!$G$10+$D104*'Коэффициенты (БЛ)'!$G$11+$D103*'Коэффициенты (БЛ)'!$G$12+$D102*'Коэффициенты (БЛ)'!$G$13+$D101*'Коэффициенты (БЛ)'!$G$14+$D100*'Коэффициенты (БЛ)'!$G$15+$D99*'Коэффициенты (БЛ)'!$G$16+$D98*'Коэффициенты (БЛ)'!$G$17+$D97*'Коэффициенты (БЛ)'!$G$18+$D96*'Коэффициенты (БЛ)'!$G$19+$D95*'Коэффициенты (БЛ)'!$G$20+$D94*'Коэффициенты (БЛ)'!$G$21+$D93*'Коэффициенты (БЛ)'!$G$22+$D92*'Коэффициенты (БЛ)'!$G$23+$D91*'Коэффициенты (БЛ)'!$G$24+$D90*'Коэффициенты (БЛ)'!$G$25+$D89*'Коэффициенты (БЛ)'!$G$26+$D88*'Коэффициенты (БЛ)'!$G$27+$D87*'Коэффициенты (БЛ)'!$G$28+$D86*'Коэффициенты (БЛ)'!$G$29+$D85*'Коэффициенты (БЛ)'!$G$30+$D84*'Коэффициенты (БЛ)'!$G$31+$D83*'Коэффициенты (БЛ)'!$G$32+$D82*'Коэффициенты (БЛ)'!$G$33+$D81*'Коэффициенты (БЛ)'!$G$34+$D80*'Коэффициенты (БЛ)'!$G$35+$D79*'Коэффициенты (БЛ)'!$G$36+$D78*'Коэффициенты (БЛ)'!$G$37+$D77*'Коэффициенты (БЛ)'!$G$38+$D76*'Коэффициенты (БЛ)'!$G$39+$D75*'Коэффициенты (БЛ)'!$G$40+$D74*'Коэффициенты (БЛ)'!$G$41+$D73*'Коэффициенты (БЛ)'!$G$42+$D72*'Коэффициенты (БЛ)'!$G$43+$D71*'Коэффициенты (БЛ)'!$G$44+$D70*'Коэффициенты (БЛ)'!$G$45+$D69*'Коэффициенты (БЛ)'!$G$46+$D68*'Коэффициенты (БЛ)'!$G$47+$D67*'Коэффициенты (БЛ)'!$G$48+$D66*'Коэффициенты (БЛ)'!$G$49+$D65*'Коэффициенты (БЛ)'!$G$50+$D64*'Коэффициенты (БЛ)'!$G$51+$D63*'Коэффициенты (БЛ)'!$G$52+$D62*'Коэффициенты (БЛ)'!$G$53+$D61*'Коэффициенты (БЛ)'!$G$54+$D60*'Коэффициенты (БЛ)'!$G$55+$D59*'Коэффициенты (БЛ)'!$G$56+$D58*'Коэффициенты (БЛ)'!$G$57+$D57*'Коэффициенты (БЛ)'!$G$58+$D56*'Коэффициенты (БЛ)'!$G$59+$D55*'Коэффициенты (БЛ)'!$G$60+$D54*'Коэффициенты (БЛ)'!$G$61+$D53*'Коэффициенты (БЛ)'!$G$62+$D52*'Коэффициенты (БЛ)'!$G$63+$D51*'Коэффициенты (БЛ)'!$G$64+$D50*'Коэффициенты (БЛ)'!$G$65+$D49*'Коэффициенты (БЛ)'!$G$66</f>
        <v>53.247091299032434</v>
      </c>
      <c r="G109" s="43">
        <v>1</v>
      </c>
      <c r="H109" s="43">
        <f t="shared" si="6"/>
        <v>2034.5685017808887</v>
      </c>
      <c r="I109" s="43">
        <f t="shared" si="7"/>
        <v>53.247091299032434</v>
      </c>
    </row>
    <row r="110" spans="2:9" ht="18" customHeight="1" x14ac:dyDescent="0.35">
      <c r="B110" s="49"/>
      <c r="C110" s="36">
        <v>7</v>
      </c>
      <c r="D110" s="37">
        <f>'Обработка руды'!E84</f>
        <v>0</v>
      </c>
      <c r="E110" s="37">
        <f>$D109*'Коэффициенты (ПС)'!$G$8+Расчет!$D108*'Коэффициенты (ПС)'!$G$9+$D107*'Коэффициенты (ПС)'!$G$10+$D106*'Коэффициенты (ПС)'!$G$11+$D105*'Коэффициенты (ПС)'!$G$12+$D104*'Коэффициенты (ПС)'!$G$13+$D103*'Коэффициенты (ПС)'!$G$14+$D102*'Коэффициенты (ПС)'!$G$15+$D101*'Коэффициенты (ПС)'!$G$16+$D100*'Коэффициенты (ПС)'!$G$17+$D99*'Коэффициенты (ПС)'!$G$18+$D98*'Коэффициенты (ПС)'!$G$19+$D97*'Коэффициенты (ПС)'!$G$20+$D96*'Коэффициенты (ПС)'!$G$21+$D95*'Коэффициенты (ПС)'!$G$22+$D94*'Коэффициенты (ПС)'!$G$23+$D93*'Коэффициенты (ПС)'!$G$24+$D92*'Коэффициенты (ПС)'!$G$25+$D91*'Коэффициенты (ПС)'!$G$26+$D90*'Коэффициенты (ПС)'!$G$27+$D89*'Коэффициенты (ПС)'!$G$28+$D88*'Коэффициенты (ПС)'!$G$29+$D87*'Коэффициенты (ПС)'!$G$30+$D86*'Коэффициенты (ПС)'!$G$31+$D85*'Коэффициенты (ПС)'!$G$32+$D84*'Коэффициенты (ПС)'!$G$33+$D83*'Коэффициенты (ПС)'!$G$34+$D82*'Коэффициенты (ПС)'!$G$35+$D81*'Коэффициенты (ПС)'!$G$36+$D80*'Коэффициенты (ПС)'!$G$37+$D79*'Коэффициенты (ПС)'!$G$38+$D78*'Коэффициенты (ПС)'!$G$39+$D77*'Коэффициенты (ПС)'!$G$40+$D76*'Коэффициенты (ПС)'!$G$41+$D75*'Коэффициенты (ПС)'!$G$42+$D74*'Коэффициенты (ПС)'!$G$43+$D73*'Коэффициенты (ПС)'!$G$44+$D72*'Коэффициенты (ПС)'!$G$45+$D71*'Коэффициенты (ПС)'!$G$46+$D70*'Коэффициенты (ПС)'!$G$47+$D69*'Коэффициенты (ПС)'!$G$48+$D68*'Коэффициенты (ПС)'!$G$49+$D67*'Коэффициенты (ПС)'!$G$50+$D66*'Коэффициенты (ПС)'!$G$51+$D65*'Коэффициенты (ПС)'!$G$52+$D64*'Коэффициенты (ПС)'!$G$53+$D63*'Коэффициенты (ПС)'!$G$54+$D62*'Коэффициенты (ПС)'!$G$55+$D61*'Коэффициенты (ПС)'!$G$56+$D60*'Коэффициенты (ПС)'!$G$57+$D59*'Коэффициенты (ПС)'!$G$58+$D58*'Коэффициенты (ПС)'!$G$59+$D57*'Коэффициенты (ПС)'!$G$60+$D56*'Коэффициенты (ПС)'!$G$61+$D55*'Коэффициенты (ПС)'!$G$62+$D54*'Коэффициенты (ПС)'!$G$63+$D53*'Коэффициенты (ПС)'!$G$64+$D52*'Коэффициенты (ПС)'!$G$65+$D51*'Коэффициенты (ПС)'!$G$66+$D50*'Коэффициенты (ПС)'!$G$67</f>
        <v>1991.8659653456709</v>
      </c>
      <c r="F110" s="37">
        <f>$D109*'Коэффициенты (БЛ)'!$G$7+Расчет!$D108*'Коэффициенты (БЛ)'!$G$8+$D107*'Коэффициенты (БЛ)'!$G$9+$D106*'Коэффициенты (БЛ)'!$G$10+$D105*'Коэффициенты (БЛ)'!$G$11+$D104*'Коэффициенты (БЛ)'!$G$12+$D103*'Коэффициенты (БЛ)'!$G$13+$D102*'Коэффициенты (БЛ)'!$G$14+$D101*'Коэффициенты (БЛ)'!$G$15+$D100*'Коэффициенты (БЛ)'!$G$16+$D99*'Коэффициенты (БЛ)'!$G$17+$D98*'Коэффициенты (БЛ)'!$G$18+$D97*'Коэффициенты (БЛ)'!$G$19+$D96*'Коэффициенты (БЛ)'!$G$20+$D95*'Коэффициенты (БЛ)'!$G$21+$D94*'Коэффициенты (БЛ)'!$G$22+$D93*'Коэффициенты (БЛ)'!$G$23+$D92*'Коэффициенты (БЛ)'!$G$24+$D91*'Коэффициенты (БЛ)'!$G$25+$D90*'Коэффициенты (БЛ)'!$G$26+$D89*'Коэффициенты (БЛ)'!$G$27+$D88*'Коэффициенты (БЛ)'!$G$28+$D87*'Коэффициенты (БЛ)'!$G$29+$D86*'Коэффициенты (БЛ)'!$G$30+$D85*'Коэффициенты (БЛ)'!$G$31+$D84*'Коэффициенты (БЛ)'!$G$32+$D83*'Коэффициенты (БЛ)'!$G$33+$D82*'Коэффициенты (БЛ)'!$G$34+$D81*'Коэффициенты (БЛ)'!$G$35+$D80*'Коэффициенты (БЛ)'!$G$36+$D79*'Коэффициенты (БЛ)'!$G$37+$D78*'Коэффициенты (БЛ)'!$G$38+$D77*'Коэффициенты (БЛ)'!$G$39+$D76*'Коэффициенты (БЛ)'!$G$40+$D75*'Коэффициенты (БЛ)'!$G$41+$D74*'Коэффициенты (БЛ)'!$G$42+$D73*'Коэффициенты (БЛ)'!$G$43+$D72*'Коэффициенты (БЛ)'!$G$44+$D71*'Коэффициенты (БЛ)'!$G$45+$D70*'Коэффициенты (БЛ)'!$G$46+$D69*'Коэффициенты (БЛ)'!$G$47+$D68*'Коэффициенты (БЛ)'!$G$48+$D67*'Коэффициенты (БЛ)'!$G$49+$D66*'Коэффициенты (БЛ)'!$G$50+$D65*'Коэффициенты (БЛ)'!$G$51+$D64*'Коэффициенты (БЛ)'!$G$52+$D63*'Коэффициенты (БЛ)'!$G$53+$D62*'Коэффициенты (БЛ)'!$G$54+$D61*'Коэффициенты (БЛ)'!$G$55+$D60*'Коэффициенты (БЛ)'!$G$56+$D59*'Коэффициенты (БЛ)'!$G$57+$D58*'Коэффициенты (БЛ)'!$G$58+$D57*'Коэффициенты (БЛ)'!$G$59+$D56*'Коэффициенты (БЛ)'!$G$60+$D55*'Коэффициенты (БЛ)'!$G$61+$D54*'Коэффициенты (БЛ)'!$G$62+$D53*'Коэффициенты (БЛ)'!$G$63+$D52*'Коэффициенты (БЛ)'!$G$64+$D51*'Коэффициенты (БЛ)'!$G$65+$D50*'Коэффициенты (БЛ)'!$G$66</f>
        <v>52.129514842758667</v>
      </c>
      <c r="G110" s="43">
        <v>1</v>
      </c>
      <c r="H110" s="43">
        <f t="shared" si="6"/>
        <v>1991.8659653456709</v>
      </c>
      <c r="I110" s="43">
        <f t="shared" si="7"/>
        <v>52.129514842758667</v>
      </c>
    </row>
    <row r="111" spans="2:9" ht="18" customHeight="1" x14ac:dyDescent="0.35">
      <c r="B111" s="49"/>
      <c r="C111" s="36">
        <v>8</v>
      </c>
      <c r="D111" s="37">
        <f>'Обработка руды'!E85</f>
        <v>0</v>
      </c>
      <c r="E111" s="37">
        <f>$D110*'Коэффициенты (ПС)'!$G$8+Расчет!$D109*'Коэффициенты (ПС)'!$G$9+$D108*'Коэффициенты (ПС)'!$G$10+$D107*'Коэффициенты (ПС)'!$G$11+$D106*'Коэффициенты (ПС)'!$G$12+$D105*'Коэффициенты (ПС)'!$G$13+$D104*'Коэффициенты (ПС)'!$G$14+$D103*'Коэффициенты (ПС)'!$G$15+$D102*'Коэффициенты (ПС)'!$G$16+$D101*'Коэффициенты (ПС)'!$G$17+$D100*'Коэффициенты (ПС)'!$G$18+$D99*'Коэффициенты (ПС)'!$G$19+$D98*'Коэффициенты (ПС)'!$G$20+$D97*'Коэффициенты (ПС)'!$G$21+$D96*'Коэффициенты (ПС)'!$G$22+$D95*'Коэффициенты (ПС)'!$G$23+$D94*'Коэффициенты (ПС)'!$G$24+$D93*'Коэффициенты (ПС)'!$G$25+$D92*'Коэффициенты (ПС)'!$G$26+$D91*'Коэффициенты (ПС)'!$G$27+$D90*'Коэффициенты (ПС)'!$G$28+$D89*'Коэффициенты (ПС)'!$G$29+$D88*'Коэффициенты (ПС)'!$G$30+$D87*'Коэффициенты (ПС)'!$G$31+$D86*'Коэффициенты (ПС)'!$G$32+$D85*'Коэффициенты (ПС)'!$G$33+$D84*'Коэффициенты (ПС)'!$G$34+$D83*'Коэффициенты (ПС)'!$G$35+$D82*'Коэффициенты (ПС)'!$G$36+$D81*'Коэффициенты (ПС)'!$G$37+$D80*'Коэффициенты (ПС)'!$G$38+$D79*'Коэффициенты (ПС)'!$G$39+$D78*'Коэффициенты (ПС)'!$G$40+$D77*'Коэффициенты (ПС)'!$G$41+$D76*'Коэффициенты (ПС)'!$G$42+$D75*'Коэффициенты (ПС)'!$G$43+$D74*'Коэффициенты (ПС)'!$G$44+$D73*'Коэффициенты (ПС)'!$G$45+$D72*'Коэффициенты (ПС)'!$G$46+$D71*'Коэффициенты (ПС)'!$G$47+$D70*'Коэффициенты (ПС)'!$G$48+$D69*'Коэффициенты (ПС)'!$G$49+$D68*'Коэффициенты (ПС)'!$G$50+$D67*'Коэффициенты (ПС)'!$G$51+$D66*'Коэффициенты (ПС)'!$G$52+$D65*'Коэффициенты (ПС)'!$G$53+$D64*'Коэффициенты (ПС)'!$G$54+$D63*'Коэффициенты (ПС)'!$G$55+$D62*'Коэффициенты (ПС)'!$G$56+$D61*'Коэффициенты (ПС)'!$G$57+$D60*'Коэффициенты (ПС)'!$G$58+$D59*'Коэффициенты (ПС)'!$G$59+$D58*'Коэффициенты (ПС)'!$G$60+$D57*'Коэффициенты (ПС)'!$G$61+$D56*'Коэффициенты (ПС)'!$G$62+$D55*'Коэффициенты (ПС)'!$G$63+$D54*'Коэффициенты (ПС)'!$G$64+$D53*'Коэффициенты (ПС)'!$G$65+$D52*'Коэффициенты (ПС)'!$G$66+$D51*'Коэффициенты (ПС)'!$G$67</f>
        <v>1885.7247789206278</v>
      </c>
      <c r="F111" s="37">
        <f>$D110*'Коэффициенты (БЛ)'!$G$7+Расчет!$D109*'Коэффициенты (БЛ)'!$G$8+$D108*'Коэффициенты (БЛ)'!$G$9+$D107*'Коэффициенты (БЛ)'!$G$10+$D106*'Коэффициенты (БЛ)'!$G$11+$D105*'Коэффициенты (БЛ)'!$G$12+$D104*'Коэффициенты (БЛ)'!$G$13+$D103*'Коэффициенты (БЛ)'!$G$14+$D102*'Коэффициенты (БЛ)'!$G$15+$D101*'Коэффициенты (БЛ)'!$G$16+$D100*'Коэффициенты (БЛ)'!$G$17+$D99*'Коэффициенты (БЛ)'!$G$18+$D98*'Коэффициенты (БЛ)'!$G$19+$D97*'Коэффициенты (БЛ)'!$G$20+$D96*'Коэффициенты (БЛ)'!$G$21+$D95*'Коэффициенты (БЛ)'!$G$22+$D94*'Коэффициенты (БЛ)'!$G$23+$D93*'Коэффициенты (БЛ)'!$G$24+$D92*'Коэффициенты (БЛ)'!$G$25+$D91*'Коэффициенты (БЛ)'!$G$26+$D90*'Коэффициенты (БЛ)'!$G$27+$D89*'Коэффициенты (БЛ)'!$G$28+$D88*'Коэффициенты (БЛ)'!$G$29+$D87*'Коэффициенты (БЛ)'!$G$30+$D86*'Коэффициенты (БЛ)'!$G$31+$D85*'Коэффициенты (БЛ)'!$G$32+$D84*'Коэффициенты (БЛ)'!$G$33+$D83*'Коэффициенты (БЛ)'!$G$34+$D82*'Коэффициенты (БЛ)'!$G$35+$D81*'Коэффициенты (БЛ)'!$G$36+$D80*'Коэффициенты (БЛ)'!$G$37+$D79*'Коэффициенты (БЛ)'!$G$38+$D78*'Коэффициенты (БЛ)'!$G$39+$D77*'Коэффициенты (БЛ)'!$G$40+$D76*'Коэффициенты (БЛ)'!$G$41+$D75*'Коэффициенты (БЛ)'!$G$42+$D74*'Коэффициенты (БЛ)'!$G$43+$D73*'Коэффициенты (БЛ)'!$G$44+$D72*'Коэффициенты (БЛ)'!$G$45+$D71*'Коэффициенты (БЛ)'!$G$46+$D70*'Коэффициенты (БЛ)'!$G$47+$D69*'Коэффициенты (БЛ)'!$G$48+$D68*'Коэффициенты (БЛ)'!$G$49+$D67*'Коэффициенты (БЛ)'!$G$50+$D66*'Коэффициенты (БЛ)'!$G$51+$D65*'Коэффициенты (БЛ)'!$G$52+$D64*'Коэффициенты (БЛ)'!$G$53+$D63*'Коэффициенты (БЛ)'!$G$54+$D62*'Коэффициенты (БЛ)'!$G$55+$D61*'Коэффициенты (БЛ)'!$G$56+$D60*'Коэффициенты (БЛ)'!$G$57+$D59*'Коэффициенты (БЛ)'!$G$58+$D58*'Коэффициенты (БЛ)'!$G$59+$D57*'Коэффициенты (БЛ)'!$G$60+$D56*'Коэффициенты (БЛ)'!$G$61+$D55*'Коэффициенты (БЛ)'!$G$62+$D54*'Коэффициенты (БЛ)'!$G$63+$D53*'Коэффициенты (БЛ)'!$G$64+$D52*'Коэффициенты (БЛ)'!$G$65+$D51*'Коэффициенты (БЛ)'!$G$66</f>
        <v>49.351673035409966</v>
      </c>
      <c r="G111" s="43">
        <v>1</v>
      </c>
      <c r="H111" s="43">
        <f t="shared" si="6"/>
        <v>1885.7247789206278</v>
      </c>
      <c r="I111" s="43">
        <f t="shared" si="7"/>
        <v>49.351673035409966</v>
      </c>
    </row>
    <row r="112" spans="2:9" ht="18" customHeight="1" x14ac:dyDescent="0.35">
      <c r="B112" s="49"/>
      <c r="C112" s="36">
        <v>9</v>
      </c>
      <c r="D112" s="37">
        <f>'Обработка руды'!E86</f>
        <v>0</v>
      </c>
      <c r="E112" s="37">
        <f>$D111*'Коэффициенты (ПС)'!$G$8+Расчет!$D110*'Коэффициенты (ПС)'!$G$9+$D109*'Коэффициенты (ПС)'!$G$10+$D108*'Коэффициенты (ПС)'!$G$11+$D107*'Коэффициенты (ПС)'!$G$12+$D106*'Коэффициенты (ПС)'!$G$13+$D105*'Коэффициенты (ПС)'!$G$14+$D104*'Коэффициенты (ПС)'!$G$15+$D103*'Коэффициенты (ПС)'!$G$16+$D102*'Коэффициенты (ПС)'!$G$17+$D101*'Коэффициенты (ПС)'!$G$18+$D100*'Коэффициенты (ПС)'!$G$19+$D99*'Коэффициенты (ПС)'!$G$20+$D98*'Коэффициенты (ПС)'!$G$21+$D97*'Коэффициенты (ПС)'!$G$22+$D96*'Коэффициенты (ПС)'!$G$23+$D95*'Коэффициенты (ПС)'!$G$24+$D94*'Коэффициенты (ПС)'!$G$25+$D93*'Коэффициенты (ПС)'!$G$26+$D92*'Коэффициенты (ПС)'!$G$27+$D91*'Коэффициенты (ПС)'!$G$28+$D90*'Коэффициенты (ПС)'!$G$29+$D89*'Коэффициенты (ПС)'!$G$30+$D88*'Коэффициенты (ПС)'!$G$31+$D87*'Коэффициенты (ПС)'!$G$32+$D86*'Коэффициенты (ПС)'!$G$33+$D85*'Коэффициенты (ПС)'!$G$34+$D84*'Коэффициенты (ПС)'!$G$35+$D83*'Коэффициенты (ПС)'!$G$36+$D82*'Коэффициенты (ПС)'!$G$37+$D81*'Коэффициенты (ПС)'!$G$38+$D80*'Коэффициенты (ПС)'!$G$39+$D79*'Коэффициенты (ПС)'!$G$40+$D78*'Коэффициенты (ПС)'!$G$41+$D77*'Коэффициенты (ПС)'!$G$42+$D76*'Коэффициенты (ПС)'!$G$43+$D75*'Коэффициенты (ПС)'!$G$44+$D74*'Коэффициенты (ПС)'!$G$45+$D73*'Коэффициенты (ПС)'!$G$46+$D72*'Коэффициенты (ПС)'!$G$47+$D71*'Коэффициенты (ПС)'!$G$48+$D70*'Коэффициенты (ПС)'!$G$49+$D69*'Коэффициенты (ПС)'!$G$50+$D68*'Коэффициенты (ПС)'!$G$51+$D67*'Коэффициенты (ПС)'!$G$52+$D66*'Коэффициенты (ПС)'!$G$53+$D65*'Коэффициенты (ПС)'!$G$54+$D64*'Коэффициенты (ПС)'!$G$55+$D63*'Коэффициенты (ПС)'!$G$56+$D62*'Коэффициенты (ПС)'!$G$57+$D61*'Коэффициенты (ПС)'!$G$58+$D60*'Коэффициенты (ПС)'!$G$59+$D59*'Коэффициенты (ПС)'!$G$60+$D58*'Коэффициенты (ПС)'!$G$61+$D57*'Коэффициенты (ПС)'!$G$62+$D56*'Коэффициенты (ПС)'!$G$63+$D55*'Коэффициенты (ПС)'!$G$64+$D54*'Коэффициенты (ПС)'!$G$65+$D53*'Коэффициенты (ПС)'!$G$66+$D52*'Коэффициенты (ПС)'!$G$67</f>
        <v>1821.6524551229086</v>
      </c>
      <c r="F112" s="37">
        <f>$D111*'Коэффициенты (БЛ)'!$G$7+Расчет!$D110*'Коэффициенты (БЛ)'!$G$8+$D109*'Коэффициенты (БЛ)'!$G$9+$D108*'Коэффициенты (БЛ)'!$G$10+$D107*'Коэффициенты (БЛ)'!$G$11+$D106*'Коэффициенты (БЛ)'!$G$12+$D105*'Коэффициенты (БЛ)'!$G$13+$D104*'Коэффициенты (БЛ)'!$G$14+$D103*'Коэффициенты (БЛ)'!$G$15+$D102*'Коэффициенты (БЛ)'!$G$16+$D101*'Коэффициенты (БЛ)'!$G$17+$D100*'Коэффициенты (БЛ)'!$G$18+$D99*'Коэффициенты (БЛ)'!$G$19+$D98*'Коэффициенты (БЛ)'!$G$20+$D97*'Коэффициенты (БЛ)'!$G$21+$D96*'Коэффициенты (БЛ)'!$G$22+$D95*'Коэффициенты (БЛ)'!$G$23+$D94*'Коэффициенты (БЛ)'!$G$24+$D93*'Коэффициенты (БЛ)'!$G$25+$D92*'Коэффициенты (БЛ)'!$G$26+$D91*'Коэффициенты (БЛ)'!$G$27+$D90*'Коэффициенты (БЛ)'!$G$28+$D89*'Коэффициенты (БЛ)'!$G$29+$D88*'Коэффициенты (БЛ)'!$G$30+$D87*'Коэффициенты (БЛ)'!$G$31+$D86*'Коэффициенты (БЛ)'!$G$32+$D85*'Коэффициенты (БЛ)'!$G$33+$D84*'Коэффициенты (БЛ)'!$G$34+$D83*'Коэффициенты (БЛ)'!$G$35+$D82*'Коэффициенты (БЛ)'!$G$36+$D81*'Коэффициенты (БЛ)'!$G$37+$D80*'Коэффициенты (БЛ)'!$G$38+$D79*'Коэффициенты (БЛ)'!$G$39+$D78*'Коэффициенты (БЛ)'!$G$40+$D77*'Коэффициенты (БЛ)'!$G$41+$D76*'Коэффициенты (БЛ)'!$G$42+$D75*'Коэффициенты (БЛ)'!$G$43+$D74*'Коэффициенты (БЛ)'!$G$44+$D73*'Коэффициенты (БЛ)'!$G$45+$D72*'Коэффициенты (БЛ)'!$G$46+$D71*'Коэффициенты (БЛ)'!$G$47+$D70*'Коэффициенты (БЛ)'!$G$48+$D69*'Коэффициенты (БЛ)'!$G$49+$D68*'Коэффициенты (БЛ)'!$G$50+$D67*'Коэффициенты (БЛ)'!$G$51+$D66*'Коэффициенты (БЛ)'!$G$52+$D65*'Коэффициенты (БЛ)'!$G$53+$D64*'Коэффициенты (БЛ)'!$G$54+$D63*'Коэффициенты (БЛ)'!$G$55+$D62*'Коэффициенты (БЛ)'!$G$56+$D61*'Коэффициенты (БЛ)'!$G$57+$D60*'Коэффициенты (БЛ)'!$G$58+$D59*'Коэффициенты (БЛ)'!$G$59+$D58*'Коэффициенты (БЛ)'!$G$60+$D57*'Коэффициенты (БЛ)'!$G$61+$D56*'Коэффициенты (БЛ)'!$G$62+$D55*'Коэффициенты (БЛ)'!$G$63+$D54*'Коэффициенты (БЛ)'!$G$64+$D53*'Коэффициенты (БЛ)'!$G$65+$D52*'Коэффициенты (БЛ)'!$G$66</f>
        <v>47.674823682826286</v>
      </c>
      <c r="G112" s="43">
        <v>1</v>
      </c>
      <c r="H112" s="43">
        <f t="shared" si="6"/>
        <v>1821.6524551229086</v>
      </c>
      <c r="I112" s="43">
        <f t="shared" si="7"/>
        <v>47.674823682826286</v>
      </c>
    </row>
    <row r="113" spans="2:9" ht="18" customHeight="1" x14ac:dyDescent="0.35">
      <c r="B113" s="49"/>
      <c r="C113" s="36">
        <v>10</v>
      </c>
      <c r="D113" s="37">
        <f>'Обработка руды'!E87</f>
        <v>0</v>
      </c>
      <c r="E113" s="37">
        <f>$D112*'Коэффициенты (ПС)'!$G$8+Расчет!$D111*'Коэффициенты (ПС)'!$G$9+$D110*'Коэффициенты (ПС)'!$G$10+$D109*'Коэффициенты (ПС)'!$G$11+$D108*'Коэффициенты (ПС)'!$G$12+$D107*'Коэффициенты (ПС)'!$G$13+$D106*'Коэффициенты (ПС)'!$G$14+$D105*'Коэффициенты (ПС)'!$G$15+$D104*'Коэффициенты (ПС)'!$G$16+$D103*'Коэффициенты (ПС)'!$G$17+$D102*'Коэффициенты (ПС)'!$G$18+$D101*'Коэффициенты (ПС)'!$G$19+$D100*'Коэффициенты (ПС)'!$G$20+$D99*'Коэффициенты (ПС)'!$G$21+$D98*'Коэффициенты (ПС)'!$G$22+$D97*'Коэффициенты (ПС)'!$G$23+$D96*'Коэффициенты (ПС)'!$G$24+$D95*'Коэффициенты (ПС)'!$G$25+$D94*'Коэффициенты (ПС)'!$G$26+$D93*'Коэффициенты (ПС)'!$G$27+$D92*'Коэффициенты (ПС)'!$G$28+$D91*'Коэффициенты (ПС)'!$G$29+$D90*'Коэффициенты (ПС)'!$G$30+$D89*'Коэффициенты (ПС)'!$G$31+$D88*'Коэффициенты (ПС)'!$G$32+$D87*'Коэффициенты (ПС)'!$G$33+$D86*'Коэффициенты (ПС)'!$G$34+$D85*'Коэффициенты (ПС)'!$G$35+$D84*'Коэффициенты (ПС)'!$G$36+$D83*'Коэффициенты (ПС)'!$G$37+$D82*'Коэффициенты (ПС)'!$G$38+$D81*'Коэффициенты (ПС)'!$G$39+$D80*'Коэффициенты (ПС)'!$G$40+$D79*'Коэффициенты (ПС)'!$G$41+$D78*'Коэффициенты (ПС)'!$G$42+$D77*'Коэффициенты (ПС)'!$G$43+$D76*'Коэффициенты (ПС)'!$G$44+$D75*'Коэффициенты (ПС)'!$G$45+$D74*'Коэффициенты (ПС)'!$G$46+$D73*'Коэффициенты (ПС)'!$G$47+$D72*'Коэффициенты (ПС)'!$G$48+$D71*'Коэффициенты (ПС)'!$G$49+$D70*'Коэффициенты (ПС)'!$G$50+$D69*'Коэффициенты (ПС)'!$G$51+$D68*'Коэффициенты (ПС)'!$G$52+$D67*'Коэффициенты (ПС)'!$G$53+$D66*'Коэффициенты (ПС)'!$G$54+$D65*'Коэффициенты (ПС)'!$G$55+$D64*'Коэффициенты (ПС)'!$G$56+$D63*'Коэффициенты (ПС)'!$G$57+$D62*'Коэффициенты (ПС)'!$G$58+$D61*'Коэффициенты (ПС)'!$G$59+$D60*'Коэффициенты (ПС)'!$G$60+$D59*'Коэффициенты (ПС)'!$G$61+$D58*'Коэффициенты (ПС)'!$G$62+$D57*'Коэффициенты (ПС)'!$G$63+$D56*'Коэффициенты (ПС)'!$G$64+$D55*'Коэффициенты (ПС)'!$G$65+$D54*'Коэффициенты (ПС)'!$G$66+$D53*'Коэффициенты (ПС)'!$G$67</f>
        <v>1782.8778350212424</v>
      </c>
      <c r="F113" s="37">
        <f>$D112*'Коэффициенты (БЛ)'!$G$7+Расчет!$D111*'Коэффициенты (БЛ)'!$G$8+$D110*'Коэффициенты (БЛ)'!$G$9+$D109*'Коэффициенты (БЛ)'!$G$10+$D108*'Коэффициенты (БЛ)'!$G$11+$D107*'Коэффициенты (БЛ)'!$G$12+$D106*'Коэффициенты (БЛ)'!$G$13+$D105*'Коэффициенты (БЛ)'!$G$14+$D104*'Коэффициенты (БЛ)'!$G$15+$D103*'Коэффициенты (БЛ)'!$G$16+$D102*'Коэффициенты (БЛ)'!$G$17+$D101*'Коэффициенты (БЛ)'!$G$18+$D100*'Коэффициенты (БЛ)'!$G$19+$D99*'Коэффициенты (БЛ)'!$G$20+$D98*'Коэффициенты (БЛ)'!$G$21+$D97*'Коэффициенты (БЛ)'!$G$22+$D96*'Коэффициенты (БЛ)'!$G$23+$D95*'Коэффициенты (БЛ)'!$G$24+$D94*'Коэффициенты (БЛ)'!$G$25+$D93*'Коэффициенты (БЛ)'!$G$26+$D92*'Коэффициенты (БЛ)'!$G$27+$D91*'Коэффициенты (БЛ)'!$G$28+$D90*'Коэффициенты (БЛ)'!$G$29+$D89*'Коэффициенты (БЛ)'!$G$30+$D88*'Коэффициенты (БЛ)'!$G$31+$D87*'Коэффициенты (БЛ)'!$G$32+$D86*'Коэффициенты (БЛ)'!$G$33+$D85*'Коэффициенты (БЛ)'!$G$34+$D84*'Коэффициенты (БЛ)'!$G$35+$D83*'Коэффициенты (БЛ)'!$G$36+$D82*'Коэффициенты (БЛ)'!$G$37+$D81*'Коэффициенты (БЛ)'!$G$38+$D80*'Коэффициенты (БЛ)'!$G$39+$D79*'Коэффициенты (БЛ)'!$G$40+$D78*'Коэффициенты (БЛ)'!$G$41+$D77*'Коэффициенты (БЛ)'!$G$42+$D76*'Коэффициенты (БЛ)'!$G$43+$D75*'Коэффициенты (БЛ)'!$G$44+$D74*'Коэффициенты (БЛ)'!$G$45+$D73*'Коэффициенты (БЛ)'!$G$46+$D72*'Коэффициенты (БЛ)'!$G$47+$D71*'Коэффициенты (БЛ)'!$G$48+$D70*'Коэффициенты (БЛ)'!$G$49+$D69*'Коэффициенты (БЛ)'!$G$50+$D68*'Коэффициенты (БЛ)'!$G$51+$D67*'Коэффициенты (БЛ)'!$G$52+$D66*'Коэффициенты (БЛ)'!$G$53+$D65*'Коэффициенты (БЛ)'!$G$54+$D64*'Коэффициенты (БЛ)'!$G$55+$D63*'Коэффициенты (БЛ)'!$G$56+$D62*'Коэффициенты (БЛ)'!$G$57+$D61*'Коэффициенты (БЛ)'!$G$58+$D60*'Коэффициенты (БЛ)'!$G$59+$D59*'Коэффициенты (БЛ)'!$G$60+$D58*'Коэффициенты (БЛ)'!$G$61+$D57*'Коэффициенты (БЛ)'!$G$62+$D56*'Коэффициенты (БЛ)'!$G$63+$D55*'Коэффициенты (БЛ)'!$G$64+$D54*'Коэффициенты (БЛ)'!$G$65+$D53*'Коэффициенты (БЛ)'!$G$66</f>
        <v>46.660045495298242</v>
      </c>
      <c r="G113" s="43">
        <v>1</v>
      </c>
      <c r="H113" s="43">
        <f t="shared" si="6"/>
        <v>1782.8778350212424</v>
      </c>
      <c r="I113" s="43">
        <f t="shared" si="7"/>
        <v>46.660045495298242</v>
      </c>
    </row>
    <row r="114" spans="2:9" ht="18" customHeight="1" x14ac:dyDescent="0.35">
      <c r="B114" s="49"/>
      <c r="C114" s="36">
        <v>11</v>
      </c>
      <c r="D114" s="37">
        <f>'Обработка руды'!E88</f>
        <v>76819.596600315228</v>
      </c>
      <c r="E114" s="37">
        <f>$D113*'Коэффициенты (ПС)'!$G$8+Расчет!$D112*'Коэффициенты (ПС)'!$G$9+$D111*'Коэффициенты (ПС)'!$G$10+$D110*'Коэффициенты (ПС)'!$G$11+$D109*'Коэффициенты (ПС)'!$G$12+$D108*'Коэффициенты (ПС)'!$G$13+$D107*'Коэффициенты (ПС)'!$G$14+$D106*'Коэффициенты (ПС)'!$G$15+$D105*'Коэффициенты (ПС)'!$G$16+$D104*'Коэффициенты (ПС)'!$G$17+$D103*'Коэффициенты (ПС)'!$G$18+$D102*'Коэффициенты (ПС)'!$G$19+$D101*'Коэффициенты (ПС)'!$G$20+$D100*'Коэффициенты (ПС)'!$G$21+$D99*'Коэффициенты (ПС)'!$G$22+$D98*'Коэффициенты (ПС)'!$G$23+$D97*'Коэффициенты (ПС)'!$G$24+$D96*'Коэффициенты (ПС)'!$G$25+$D95*'Коэффициенты (ПС)'!$G$26+$D94*'Коэффициенты (ПС)'!$G$27+$D93*'Коэффициенты (ПС)'!$G$28+$D92*'Коэффициенты (ПС)'!$G$29+$D91*'Коэффициенты (ПС)'!$G$30+$D90*'Коэффициенты (ПС)'!$G$31+$D89*'Коэффициенты (ПС)'!$G$32+$D88*'Коэффициенты (ПС)'!$G$33+$D87*'Коэффициенты (ПС)'!$G$34+$D86*'Коэффициенты (ПС)'!$G$35+$D85*'Коэффициенты (ПС)'!$G$36+$D84*'Коэффициенты (ПС)'!$G$37+$D83*'Коэффициенты (ПС)'!$G$38+$D82*'Коэффициенты (ПС)'!$G$39+$D81*'Коэффициенты (ПС)'!$G$40+$D80*'Коэффициенты (ПС)'!$G$41+$D79*'Коэффициенты (ПС)'!$G$42+$D78*'Коэффициенты (ПС)'!$G$43+$D77*'Коэффициенты (ПС)'!$G$44+$D76*'Коэффициенты (ПС)'!$G$45+$D75*'Коэффициенты (ПС)'!$G$46+$D74*'Коэффициенты (ПС)'!$G$47+$D73*'Коэффициенты (ПС)'!$G$48+$D72*'Коэффициенты (ПС)'!$G$49+$D71*'Коэффициенты (ПС)'!$G$50+$D70*'Коэффициенты (ПС)'!$G$51+$D69*'Коэффициенты (ПС)'!$G$52+$D68*'Коэффициенты (ПС)'!$G$53+$D67*'Коэффициенты (ПС)'!$G$54+$D66*'Коэффициенты (ПС)'!$G$55+$D65*'Коэффициенты (ПС)'!$G$56+$D64*'Коэффициенты (ПС)'!$G$57+$D63*'Коэффициенты (ПС)'!$G$58+$D62*'Коэффициенты (ПС)'!$G$59+$D61*'Коэффициенты (ПС)'!$G$60+$D60*'Коэффициенты (ПС)'!$G$61+$D59*'Коэффициенты (ПС)'!$G$62+$D58*'Коэффициенты (ПС)'!$G$63+$D57*'Коэффициенты (ПС)'!$G$64+$D56*'Коэффициенты (ПС)'!$G$65+$D55*'Коэффициенты (ПС)'!$G$66+$D54*'Коэффициенты (ПС)'!$G$67</f>
        <v>1706.6893365751939</v>
      </c>
      <c r="F114" s="37">
        <f>$D113*'Коэффициенты (БЛ)'!$G$7+Расчет!$D112*'Коэффициенты (БЛ)'!$G$8+$D111*'Коэффициенты (БЛ)'!$G$9+$D110*'Коэффициенты (БЛ)'!$G$10+$D109*'Коэффициенты (БЛ)'!$G$11+$D108*'Коэффициенты (БЛ)'!$G$12+$D107*'Коэффициенты (БЛ)'!$G$13+$D106*'Коэффициенты (БЛ)'!$G$14+$D105*'Коэффициенты (БЛ)'!$G$15+$D104*'Коэффициенты (БЛ)'!$G$16+$D103*'Коэффициенты (БЛ)'!$G$17+$D102*'Коэффициенты (БЛ)'!$G$18+$D101*'Коэффициенты (БЛ)'!$G$19+$D100*'Коэффициенты (БЛ)'!$G$20+$D99*'Коэффициенты (БЛ)'!$G$21+$D98*'Коэффициенты (БЛ)'!$G$22+$D97*'Коэффициенты (БЛ)'!$G$23+$D96*'Коэффициенты (БЛ)'!$G$24+$D95*'Коэффициенты (БЛ)'!$G$25+$D94*'Коэффициенты (БЛ)'!$G$26+$D93*'Коэффициенты (БЛ)'!$G$27+$D92*'Коэффициенты (БЛ)'!$G$28+$D91*'Коэффициенты (БЛ)'!$G$29+$D90*'Коэффициенты (БЛ)'!$G$30+$D89*'Коэффициенты (БЛ)'!$G$31+$D88*'Коэффициенты (БЛ)'!$G$32+$D87*'Коэффициенты (БЛ)'!$G$33+$D86*'Коэффициенты (БЛ)'!$G$34+$D85*'Коэффициенты (БЛ)'!$G$35+$D84*'Коэффициенты (БЛ)'!$G$36+$D83*'Коэффициенты (БЛ)'!$G$37+$D82*'Коэффициенты (БЛ)'!$G$38+$D81*'Коэффициенты (БЛ)'!$G$39+$D80*'Коэффициенты (БЛ)'!$G$40+$D79*'Коэффициенты (БЛ)'!$G$41+$D78*'Коэффициенты (БЛ)'!$G$42+$D77*'Коэффициенты (БЛ)'!$G$43+$D76*'Коэффициенты (БЛ)'!$G$44+$D75*'Коэффициенты (БЛ)'!$G$45+$D74*'Коэффициенты (БЛ)'!$G$46+$D73*'Коэффициенты (БЛ)'!$G$47+$D72*'Коэффициенты (БЛ)'!$G$48+$D71*'Коэффициенты (БЛ)'!$G$49+$D70*'Коэффициенты (БЛ)'!$G$50+$D69*'Коэффициенты (БЛ)'!$G$51+$D68*'Коэффициенты (БЛ)'!$G$52+$D67*'Коэффициенты (БЛ)'!$G$53+$D66*'Коэффициенты (БЛ)'!$G$54+$D65*'Коэффициенты (БЛ)'!$G$55+$D64*'Коэффициенты (БЛ)'!$G$56+$D63*'Коэффициенты (БЛ)'!$G$57+$D62*'Коэффициенты (БЛ)'!$G$58+$D61*'Коэффициенты (БЛ)'!$G$59+$D60*'Коэффициенты (БЛ)'!$G$60+$D59*'Коэффициенты (БЛ)'!$G$61+$D58*'Коэффициенты (БЛ)'!$G$62+$D57*'Коэффициенты (БЛ)'!$G$63+$D56*'Коэффициенты (БЛ)'!$G$64+$D55*'Коэффициенты (БЛ)'!$G$65+$D54*'Коэффициенты (БЛ)'!$G$66</f>
        <v>44.666101359653958</v>
      </c>
      <c r="G114" s="43">
        <v>1</v>
      </c>
      <c r="H114" s="43">
        <f t="shared" si="6"/>
        <v>1706.6893365751939</v>
      </c>
      <c r="I114" s="43">
        <f t="shared" si="7"/>
        <v>44.666101359653958</v>
      </c>
    </row>
    <row r="115" spans="2:9" ht="18" customHeight="1" x14ac:dyDescent="0.35">
      <c r="B115" s="49"/>
      <c r="C115" s="36">
        <v>12</v>
      </c>
      <c r="D115" s="37">
        <f>'Обработка руды'!E89</f>
        <v>154624.05982371143</v>
      </c>
      <c r="E115" s="37">
        <f>$D114*'Коэффициенты (ПС)'!$G$8+Расчет!$D113*'Коэффициенты (ПС)'!$G$9+$D112*'Коэффициенты (ПС)'!$G$10+$D111*'Коэффициенты (ПС)'!$G$11+$D110*'Коэффициенты (ПС)'!$G$12+$D109*'Коэффициенты (ПС)'!$G$13+$D108*'Коэффициенты (ПС)'!$G$14+$D107*'Коэффициенты (ПС)'!$G$15+$D106*'Коэффициенты (ПС)'!$G$16+$D105*'Коэффициенты (ПС)'!$G$17+$D104*'Коэффициенты (ПС)'!$G$18+$D103*'Коэффициенты (ПС)'!$G$19+$D102*'Коэффициенты (ПС)'!$G$20+$D101*'Коэффициенты (ПС)'!$G$21+$D100*'Коэффициенты (ПС)'!$G$22+$D99*'Коэффициенты (ПС)'!$G$23+$D98*'Коэффициенты (ПС)'!$G$24+$D97*'Коэффициенты (ПС)'!$G$25+$D96*'Коэффициенты (ПС)'!$G$26+$D95*'Коэффициенты (ПС)'!$G$27+$D94*'Коэффициенты (ПС)'!$G$28+$D93*'Коэффициенты (ПС)'!$G$29+$D92*'Коэффициенты (ПС)'!$G$30+$D91*'Коэффициенты (ПС)'!$G$31+$D90*'Коэффициенты (ПС)'!$G$32+$D89*'Коэффициенты (ПС)'!$G$33+$D88*'Коэффициенты (ПС)'!$G$34+$D87*'Коэффициенты (ПС)'!$G$35+$D86*'Коэффициенты (ПС)'!$G$36+$D85*'Коэффициенты (ПС)'!$G$37+$D84*'Коэффициенты (ПС)'!$G$38+$D83*'Коэффициенты (ПС)'!$G$39+$D82*'Коэффициенты (ПС)'!$G$40+$D81*'Коэффициенты (ПС)'!$G$41+$D80*'Коэффициенты (ПС)'!$G$42+$D79*'Коэффициенты (ПС)'!$G$43+$D78*'Коэффициенты (ПС)'!$G$44+$D77*'Коэффициенты (ПС)'!$G$45+$D76*'Коэффициенты (ПС)'!$G$46+$D75*'Коэффициенты (ПС)'!$G$47+$D74*'Коэффициенты (ПС)'!$G$48+$D73*'Коэффициенты (ПС)'!$G$49+$D72*'Коэффициенты (ПС)'!$G$50+$D71*'Коэффициенты (ПС)'!$G$51+$D70*'Коэффициенты (ПС)'!$G$52+$D69*'Коэффициенты (ПС)'!$G$53+$D68*'Коэффициенты (ПС)'!$G$54+$D67*'Коэффициенты (ПС)'!$G$55+$D66*'Коэффициенты (ПС)'!$G$56+$D65*'Коэффициенты (ПС)'!$G$57+$D64*'Коэффициенты (ПС)'!$G$58+$D63*'Коэффициенты (ПС)'!$G$59+$D62*'Коэффициенты (ПС)'!$G$60+$D61*'Коэффициенты (ПС)'!$G$61+$D60*'Коэффициенты (ПС)'!$G$62+$D59*'Коэффициенты (ПС)'!$G$63+$D58*'Коэффициенты (ПС)'!$G$64+$D57*'Коэффициенты (ПС)'!$G$65+$D56*'Коэффициенты (ПС)'!$G$66+$D55*'Коэффициенты (ПС)'!$G$67</f>
        <v>2500.0700992996203</v>
      </c>
      <c r="F115" s="37">
        <f>$D114*'Коэффициенты (БЛ)'!$G$7+Расчет!$D113*'Коэффициенты (БЛ)'!$G$8+$D112*'Коэффициенты (БЛ)'!$G$9+$D111*'Коэффициенты (БЛ)'!$G$10+$D110*'Коэффициенты (БЛ)'!$G$11+$D109*'Коэффициенты (БЛ)'!$G$12+$D108*'Коэффициенты (БЛ)'!$G$13+$D107*'Коэффициенты (БЛ)'!$G$14+$D106*'Коэффициенты (БЛ)'!$G$15+$D105*'Коэффициенты (БЛ)'!$G$16+$D104*'Коэффициенты (БЛ)'!$G$17+$D103*'Коэффициенты (БЛ)'!$G$18+$D102*'Коэффициенты (БЛ)'!$G$19+$D101*'Коэффициенты (БЛ)'!$G$20+$D100*'Коэффициенты (БЛ)'!$G$21+$D99*'Коэффициенты (БЛ)'!$G$22+$D98*'Коэффициенты (БЛ)'!$G$23+$D97*'Коэффициенты (БЛ)'!$G$24+$D96*'Коэффициенты (БЛ)'!$G$25+$D95*'Коэффициенты (БЛ)'!$G$26+$D94*'Коэффициенты (БЛ)'!$G$27+$D93*'Коэффициенты (БЛ)'!$G$28+$D92*'Коэффициенты (БЛ)'!$G$29+$D91*'Коэффициенты (БЛ)'!$G$30+$D90*'Коэффициенты (БЛ)'!$G$31+$D89*'Коэффициенты (БЛ)'!$G$32+$D88*'Коэффициенты (БЛ)'!$G$33+$D87*'Коэффициенты (БЛ)'!$G$34+$D86*'Коэффициенты (БЛ)'!$G$35+$D85*'Коэффициенты (БЛ)'!$G$36+$D84*'Коэффициенты (БЛ)'!$G$37+$D83*'Коэффициенты (БЛ)'!$G$38+$D82*'Коэффициенты (БЛ)'!$G$39+$D81*'Коэффициенты (БЛ)'!$G$40+$D80*'Коэффициенты (БЛ)'!$G$41+$D79*'Коэффициенты (БЛ)'!$G$42+$D78*'Коэффициенты (БЛ)'!$G$43+$D77*'Коэффициенты (БЛ)'!$G$44+$D76*'Коэффициенты (БЛ)'!$G$45+$D75*'Коэффициенты (БЛ)'!$G$46+$D74*'Коэффициенты (БЛ)'!$G$47+$D73*'Коэффициенты (БЛ)'!$G$48+$D72*'Коэффициенты (БЛ)'!$G$49+$D71*'Коэффициенты (БЛ)'!$G$50+$D70*'Коэффициенты (БЛ)'!$G$51+$D69*'Коэффициенты (БЛ)'!$G$52+$D68*'Коэффициенты (БЛ)'!$G$53+$D67*'Коэффициенты (БЛ)'!$G$54+$D66*'Коэффициенты (БЛ)'!$G$55+$D65*'Коэффициенты (БЛ)'!$G$56+$D64*'Коэффициенты (БЛ)'!$G$57+$D63*'Коэффициенты (БЛ)'!$G$58+$D62*'Коэффициенты (БЛ)'!$G$59+$D61*'Коэффициенты (БЛ)'!$G$60+$D60*'Коэффициенты (БЛ)'!$G$61+$D59*'Коэффициенты (БЛ)'!$G$62+$D58*'Коэффициенты (БЛ)'!$G$63+$D57*'Коэффициенты (БЛ)'!$G$64+$D56*'Коэффициенты (БЛ)'!$G$65+$D55*'Коэффициенты (БЛ)'!$G$66</f>
        <v>65.429824906295593</v>
      </c>
      <c r="G115" s="43">
        <v>1</v>
      </c>
      <c r="H115" s="43">
        <f t="shared" si="6"/>
        <v>2500.0700992996203</v>
      </c>
      <c r="I115" s="43">
        <f t="shared" si="7"/>
        <v>65.429824906295593</v>
      </c>
    </row>
    <row r="116" spans="2:9" ht="18" customHeight="1" x14ac:dyDescent="0.35">
      <c r="B116" s="49">
        <v>2033</v>
      </c>
      <c r="C116" s="36">
        <v>1</v>
      </c>
      <c r="D116" s="37">
        <f>'Обработка руды'!E90</f>
        <v>0</v>
      </c>
      <c r="E116" s="37">
        <f>$D115*'Коэффициенты (ПС)'!$G$8+Расчет!$D114*'Коэффициенты (ПС)'!$G$9+$D113*'Коэффициенты (ПС)'!$G$10+$D112*'Коэффициенты (ПС)'!$G$11+$D111*'Коэффициенты (ПС)'!$G$12+$D110*'Коэффициенты (ПС)'!$G$13+$D109*'Коэффициенты (ПС)'!$G$14+$D108*'Коэффициенты (ПС)'!$G$15+$D107*'Коэффициенты (ПС)'!$G$16+$D106*'Коэффициенты (ПС)'!$G$17+$D105*'Коэффициенты (ПС)'!$G$18+$D104*'Коэффициенты (ПС)'!$G$19+$D103*'Коэффициенты (ПС)'!$G$20+$D102*'Коэффициенты (ПС)'!$G$21+$D101*'Коэффициенты (ПС)'!$G$22+$D100*'Коэффициенты (ПС)'!$G$23+$D99*'Коэффициенты (ПС)'!$G$24+$D98*'Коэффициенты (ПС)'!$G$25+$D97*'Коэффициенты (ПС)'!$G$26+$D96*'Коэффициенты (ПС)'!$G$27+$D95*'Коэффициенты (ПС)'!$G$28+$D94*'Коэффициенты (ПС)'!$G$29+$D93*'Коэффициенты (ПС)'!$G$30+$D92*'Коэффициенты (ПС)'!$G$31+$D91*'Коэффициенты (ПС)'!$G$32+$D90*'Коэффициенты (ПС)'!$G$33+$D89*'Коэффициенты (ПС)'!$G$34+$D88*'Коэффициенты (ПС)'!$G$35+$D87*'Коэффициенты (ПС)'!$G$36+$D86*'Коэффициенты (ПС)'!$G$37+$D85*'Коэффициенты (ПС)'!$G$38+$D84*'Коэффициенты (ПС)'!$G$39+$D83*'Коэффициенты (ПС)'!$G$40+$D82*'Коэффициенты (ПС)'!$G$41+$D81*'Коэффициенты (ПС)'!$G$42+$D80*'Коэффициенты (ПС)'!$G$43+$D79*'Коэффициенты (ПС)'!$G$44+$D78*'Коэффициенты (ПС)'!$G$45+$D77*'Коэффициенты (ПС)'!$G$46+$D76*'Коэффициенты (ПС)'!$G$47+$D75*'Коэффициенты (ПС)'!$G$48+$D74*'Коэффициенты (ПС)'!$G$49+$D73*'Коэффициенты (ПС)'!$G$50+$D72*'Коэффициенты (ПС)'!$G$51+$D71*'Коэффициенты (ПС)'!$G$52+$D70*'Коэффициенты (ПС)'!$G$53+$D69*'Коэффициенты (ПС)'!$G$54+$D68*'Коэффициенты (ПС)'!$G$55+$D67*'Коэффициенты (ПС)'!$G$56+$D66*'Коэффициенты (ПС)'!$G$57+$D65*'Коэффициенты (ПС)'!$G$58+$D64*'Коэффициенты (ПС)'!$G$59+$D63*'Коэффициенты (ПС)'!$G$60+$D62*'Коэффициенты (ПС)'!$G$61+$D61*'Коэффициенты (ПС)'!$G$62+$D60*'Коэффициенты (ПС)'!$G$63+$D59*'Коэффициенты (ПС)'!$G$64+$D58*'Коэффициенты (ПС)'!$G$65+$D57*'Коэффициенты (ПС)'!$G$66+$D56*'Коэффициенты (ПС)'!$G$67</f>
        <v>3482.5001631131631</v>
      </c>
      <c r="F116" s="37">
        <f>$D115*'Коэффициенты (БЛ)'!$G$7+Расчет!$D114*'Коэффициенты (БЛ)'!$G$8+$D113*'Коэффициенты (БЛ)'!$G$9+$D112*'Коэффициенты (БЛ)'!$G$10+$D111*'Коэффициенты (БЛ)'!$G$11+$D110*'Коэффициенты (БЛ)'!$G$12+$D109*'Коэффициенты (БЛ)'!$G$13+$D108*'Коэффициенты (БЛ)'!$G$14+$D107*'Коэффициенты (БЛ)'!$G$15+$D106*'Коэффициенты (БЛ)'!$G$16+$D105*'Коэффициенты (БЛ)'!$G$17+$D104*'Коэффициенты (БЛ)'!$G$18+$D103*'Коэффициенты (БЛ)'!$G$19+$D102*'Коэффициенты (БЛ)'!$G$20+$D101*'Коэффициенты (БЛ)'!$G$21+$D100*'Коэффициенты (БЛ)'!$G$22+$D99*'Коэффициенты (БЛ)'!$G$23+$D98*'Коэффициенты (БЛ)'!$G$24+$D97*'Коэффициенты (БЛ)'!$G$25+$D96*'Коэффициенты (БЛ)'!$G$26+$D95*'Коэффициенты (БЛ)'!$G$27+$D94*'Коэффициенты (БЛ)'!$G$28+$D93*'Коэффициенты (БЛ)'!$G$29+$D92*'Коэффициенты (БЛ)'!$G$30+$D91*'Коэффициенты (БЛ)'!$G$31+$D90*'Коэффициенты (БЛ)'!$G$32+$D89*'Коэффициенты (БЛ)'!$G$33+$D88*'Коэффициенты (БЛ)'!$G$34+$D87*'Коэффициенты (БЛ)'!$G$35+$D86*'Коэффициенты (БЛ)'!$G$36+$D85*'Коэффициенты (БЛ)'!$G$37+$D84*'Коэффициенты (БЛ)'!$G$38+$D83*'Коэффициенты (БЛ)'!$G$39+$D82*'Коэффициенты (БЛ)'!$G$40+$D81*'Коэффициенты (БЛ)'!$G$41+$D80*'Коэффициенты (БЛ)'!$G$42+$D79*'Коэффициенты (БЛ)'!$G$43+$D78*'Коэффициенты (БЛ)'!$G$44+$D77*'Коэффициенты (БЛ)'!$G$45+$D76*'Коэффициенты (БЛ)'!$G$46+$D75*'Коэффициенты (БЛ)'!$G$47+$D74*'Коэффициенты (БЛ)'!$G$48+$D73*'Коэффициенты (БЛ)'!$G$49+$D72*'Коэффициенты (БЛ)'!$G$50+$D71*'Коэффициенты (БЛ)'!$G$51+$D70*'Коэффициенты (БЛ)'!$G$52+$D69*'Коэффициенты (БЛ)'!$G$53+$D68*'Коэффициенты (БЛ)'!$G$54+$D67*'Коэффициенты (БЛ)'!$G$55+$D66*'Коэффициенты (БЛ)'!$G$56+$D65*'Коэффициенты (БЛ)'!$G$57+$D64*'Коэффициенты (БЛ)'!$G$58+$D63*'Коэффициенты (БЛ)'!$G$59+$D62*'Коэффициенты (БЛ)'!$G$60+$D61*'Коэффициенты (БЛ)'!$G$61+$D60*'Коэффициенты (БЛ)'!$G$62+$D59*'Коэффициенты (БЛ)'!$G$63+$D58*'Коэффициенты (БЛ)'!$G$64+$D57*'Коэффициенты (БЛ)'!$G$65+$D56*'Коэффициенты (БЛ)'!$G$66</f>
        <v>91.141194789887578</v>
      </c>
      <c r="G116" s="43">
        <v>1</v>
      </c>
      <c r="H116" s="43">
        <f t="shared" si="6"/>
        <v>3482.5001631131631</v>
      </c>
      <c r="I116" s="43">
        <f t="shared" si="7"/>
        <v>91.141194789887578</v>
      </c>
    </row>
    <row r="117" spans="2:9" ht="18" customHeight="1" x14ac:dyDescent="0.35">
      <c r="B117" s="49"/>
      <c r="C117" s="36">
        <v>2</v>
      </c>
      <c r="D117" s="37">
        <f>'Обработка руды'!E91</f>
        <v>68556.618903204944</v>
      </c>
      <c r="E117" s="37">
        <f>$D116*'Коэффициенты (ПС)'!$G$8+Расчет!$D115*'Коэффициенты (ПС)'!$G$9+$D114*'Коэффициенты (ПС)'!$G$10+$D113*'Коэффициенты (ПС)'!$G$11+$D112*'Коэффициенты (ПС)'!$G$12+$D111*'Коэффициенты (ПС)'!$G$13+$D110*'Коэффициенты (ПС)'!$G$14+$D109*'Коэффициенты (ПС)'!$G$15+$D108*'Коэффициенты (ПС)'!$G$16+$D107*'Коэффициенты (ПС)'!$G$17+$D106*'Коэффициенты (ПС)'!$G$18+$D105*'Коэффициенты (ПС)'!$G$19+$D104*'Коэффициенты (ПС)'!$G$20+$D103*'Коэффициенты (ПС)'!$G$21+$D102*'Коэффициенты (ПС)'!$G$22+$D101*'Коэффициенты (ПС)'!$G$23+$D100*'Коэффициенты (ПС)'!$G$24+$D99*'Коэффициенты (ПС)'!$G$25+$D98*'Коэффициенты (ПС)'!$G$26+$D97*'Коэффициенты (ПС)'!$G$27+$D96*'Коэффициенты (ПС)'!$G$28+$D95*'Коэффициенты (ПС)'!$G$29+$D94*'Коэффициенты (ПС)'!$G$30+$D93*'Коэффициенты (ПС)'!$G$31+$D92*'Коэффициенты (ПС)'!$G$32+$D91*'Коэффициенты (ПС)'!$G$33+$D90*'Коэффициенты (ПС)'!$G$34+$D89*'Коэффициенты (ПС)'!$G$35+$D88*'Коэффициенты (ПС)'!$G$36+$D87*'Коэффициенты (ПС)'!$G$37+$D86*'Коэффициенты (ПС)'!$G$38+$D85*'Коэффициенты (ПС)'!$G$39+$D84*'Коэффициенты (ПС)'!$G$40+$D83*'Коэффициенты (ПС)'!$G$41+$D82*'Коэффициенты (ПС)'!$G$42+$D81*'Коэффициенты (ПС)'!$G$43+$D80*'Коэффициенты (ПС)'!$G$44+$D79*'Коэффициенты (ПС)'!$G$45+$D78*'Коэффициенты (ПС)'!$G$46+$D77*'Коэффициенты (ПС)'!$G$47+$D76*'Коэффициенты (ПС)'!$G$48+$D75*'Коэффициенты (ПС)'!$G$49+$D74*'Коэффициенты (ПС)'!$G$50+$D73*'Коэффициенты (ПС)'!$G$51+$D72*'Коэффициенты (ПС)'!$G$52+$D71*'Коэффициенты (ПС)'!$G$53+$D70*'Коэффициенты (ПС)'!$G$54+$D69*'Коэффициенты (ПС)'!$G$55+$D68*'Коэффициенты (ПС)'!$G$56+$D67*'Коэффициенты (ПС)'!$G$57+$D66*'Коэффициенты (ПС)'!$G$58+$D65*'Коэффициенты (ПС)'!$G$59+$D64*'Коэффициенты (ПС)'!$G$60+$D63*'Коэффициенты (ПС)'!$G$61+$D62*'Коэффициенты (ПС)'!$G$62+$D61*'Коэффициенты (ПС)'!$G$63+$D60*'Коэффициенты (ПС)'!$G$64+$D59*'Коэффициенты (ПС)'!$G$65+$D58*'Коэффициенты (ПС)'!$G$66+$D57*'Коэффициенты (ПС)'!$G$67</f>
        <v>2311.1341613210639</v>
      </c>
      <c r="F117" s="37">
        <f>$D116*'Коэффициенты (БЛ)'!$G$7+Расчет!$D115*'Коэффициенты (БЛ)'!$G$8+$D114*'Коэффициенты (БЛ)'!$G$9+$D113*'Коэффициенты (БЛ)'!$G$10+$D112*'Коэффициенты (БЛ)'!$G$11+$D111*'Коэффициенты (БЛ)'!$G$12+$D110*'Коэффициенты (БЛ)'!$G$13+$D109*'Коэффициенты (БЛ)'!$G$14+$D108*'Коэффициенты (БЛ)'!$G$15+$D107*'Коэффициенты (БЛ)'!$G$16+$D106*'Коэффициенты (БЛ)'!$G$17+$D105*'Коэффициенты (БЛ)'!$G$18+$D104*'Коэффициенты (БЛ)'!$G$19+$D103*'Коэффициенты (БЛ)'!$G$20+$D102*'Коэффициенты (БЛ)'!$G$21+$D101*'Коэффициенты (БЛ)'!$G$22+$D100*'Коэффициенты (БЛ)'!$G$23+$D99*'Коэффициенты (БЛ)'!$G$24+$D98*'Коэффициенты (БЛ)'!$G$25+$D97*'Коэффициенты (БЛ)'!$G$26+$D96*'Коэффициенты (БЛ)'!$G$27+$D95*'Коэффициенты (БЛ)'!$G$28+$D94*'Коэффициенты (БЛ)'!$G$29+$D93*'Коэффициенты (БЛ)'!$G$30+$D92*'Коэффициенты (БЛ)'!$G$31+$D91*'Коэффициенты (БЛ)'!$G$32+$D90*'Коэффициенты (БЛ)'!$G$33+$D89*'Коэффициенты (БЛ)'!$G$34+$D88*'Коэффициенты (БЛ)'!$G$35+$D87*'Коэффициенты (БЛ)'!$G$36+$D86*'Коэффициенты (БЛ)'!$G$37+$D85*'Коэффициенты (БЛ)'!$G$38+$D84*'Коэффициенты (БЛ)'!$G$39+$D83*'Коэффициенты (БЛ)'!$G$40+$D82*'Коэффициенты (БЛ)'!$G$41+$D81*'Коэффициенты (БЛ)'!$G$42+$D80*'Коэффициенты (БЛ)'!$G$43+$D79*'Коэффициенты (БЛ)'!$G$44+$D78*'Коэффициенты (БЛ)'!$G$45+$D77*'Коэффициенты (БЛ)'!$G$46+$D76*'Коэффициенты (БЛ)'!$G$47+$D75*'Коэффициенты (БЛ)'!$G$48+$D74*'Коэффициенты (БЛ)'!$G$49+$D73*'Коэффициенты (БЛ)'!$G$50+$D72*'Коэффициенты (БЛ)'!$G$51+$D71*'Коэффициенты (БЛ)'!$G$52+$D70*'Коэффициенты (БЛ)'!$G$53+$D69*'Коэффициенты (БЛ)'!$G$54+$D68*'Коэффициенты (БЛ)'!$G$55+$D67*'Коэффициенты (БЛ)'!$G$56+$D66*'Коэффициенты (БЛ)'!$G$57+$D65*'Коэффициенты (БЛ)'!$G$58+$D64*'Коэффициенты (БЛ)'!$G$59+$D63*'Коэффициенты (БЛ)'!$G$60+$D62*'Коэффициенты (БЛ)'!$G$61+$D61*'Коэффициенты (БЛ)'!$G$62+$D60*'Коэффициенты (БЛ)'!$G$63+$D59*'Коэффициенты (БЛ)'!$G$64+$D58*'Коэффициенты (БЛ)'!$G$65+$D57*'Коэффициенты (БЛ)'!$G$66</f>
        <v>60.485145417545823</v>
      </c>
      <c r="G117" s="43">
        <v>1</v>
      </c>
      <c r="H117" s="43">
        <f t="shared" si="6"/>
        <v>2311.1341613210639</v>
      </c>
      <c r="I117" s="43">
        <f t="shared" si="7"/>
        <v>60.485145417545823</v>
      </c>
    </row>
    <row r="118" spans="2:9" ht="18" customHeight="1" x14ac:dyDescent="0.35">
      <c r="B118" s="49"/>
      <c r="C118" s="36">
        <v>3</v>
      </c>
      <c r="D118" s="37">
        <f>'Обработка руды'!E92</f>
        <v>0</v>
      </c>
      <c r="E118" s="37">
        <f>$D117*'Коэффициенты (ПС)'!$G$8+Расчет!$D116*'Коэффициенты (ПС)'!$G$9+$D115*'Коэффициенты (ПС)'!$G$10+$D114*'Коэффициенты (ПС)'!$G$11+$D113*'Коэффициенты (ПС)'!$G$12+$D112*'Коэффициенты (ПС)'!$G$13+$D111*'Коэффициенты (ПС)'!$G$14+$D110*'Коэффициенты (ПС)'!$G$15+$D109*'Коэффициенты (ПС)'!$G$16+$D108*'Коэффициенты (ПС)'!$G$17+$D107*'Коэффициенты (ПС)'!$G$18+$D106*'Коэффициенты (ПС)'!$G$19+$D105*'Коэффициенты (ПС)'!$G$20+$D104*'Коэффициенты (ПС)'!$G$21+$D103*'Коэффициенты (ПС)'!$G$22+$D102*'Коэффициенты (ПС)'!$G$23+$D101*'Коэффициенты (ПС)'!$G$24+$D100*'Коэффициенты (ПС)'!$G$25+$D99*'Коэффициенты (ПС)'!$G$26+$D98*'Коэффициенты (ПС)'!$G$27+$D97*'Коэффициенты (ПС)'!$G$28+$D96*'Коэффициенты (ПС)'!$G$29+$D95*'Коэффициенты (ПС)'!$G$30+$D94*'Коэффициенты (ПС)'!$G$31+$D93*'Коэффициенты (ПС)'!$G$32+$D92*'Коэффициенты (ПС)'!$G$33+$D91*'Коэффициенты (ПС)'!$G$34+$D90*'Коэффициенты (ПС)'!$G$35+$D89*'Коэффициенты (ПС)'!$G$36+$D88*'Коэффициенты (ПС)'!$G$37+$D87*'Коэффициенты (ПС)'!$G$38+$D86*'Коэффициенты (ПС)'!$G$39+$D85*'Коэффициенты (ПС)'!$G$40+$D84*'Коэффициенты (ПС)'!$G$41+$D83*'Коэффициенты (ПС)'!$G$42+$D82*'Коэффициенты (ПС)'!$G$43+$D81*'Коэффициенты (ПС)'!$G$44+$D80*'Коэффициенты (ПС)'!$G$45+$D79*'Коэффициенты (ПС)'!$G$46+$D78*'Коэффициенты (ПС)'!$G$47+$D77*'Коэффициенты (ПС)'!$G$48+$D76*'Коэффициенты (ПС)'!$G$49+$D75*'Коэффициенты (ПС)'!$G$50+$D74*'Коэффициенты (ПС)'!$G$51+$D73*'Коэффициенты (ПС)'!$G$52+$D72*'Коэффициенты (ПС)'!$G$53+$D71*'Коэффициенты (ПС)'!$G$54+$D70*'Коэффициенты (ПС)'!$G$55+$D69*'Коэффициенты (ПС)'!$G$56+$D68*'Коэффициенты (ПС)'!$G$57+$D67*'Коэффициенты (ПС)'!$G$58+$D66*'Коэффициенты (ПС)'!$G$59+$D65*'Коэффициенты (ПС)'!$G$60+$D64*'Коэффициенты (ПС)'!$G$61+$D63*'Коэффициенты (ПС)'!$G$62+$D62*'Коэффициенты (ПС)'!$G$63+$D61*'Коэффициенты (ПС)'!$G$64+$D60*'Коэффициенты (ПС)'!$G$65+$D59*'Коэффициенты (ПС)'!$G$66+$D58*'Коэффициенты (ПС)'!$G$67</f>
        <v>2902.1646130670629</v>
      </c>
      <c r="F118" s="37">
        <f>$D117*'Коэффициенты (БЛ)'!$G$7+Расчет!$D116*'Коэффициенты (БЛ)'!$G$8+$D115*'Коэффициенты (БЛ)'!$G$9+$D114*'Коэффициенты (БЛ)'!$G$10+$D113*'Коэффициенты (БЛ)'!$G$11+$D112*'Коэффициенты (БЛ)'!$G$12+$D111*'Коэффициенты (БЛ)'!$G$13+$D110*'Коэффициенты (БЛ)'!$G$14+$D109*'Коэффициенты (БЛ)'!$G$15+$D108*'Коэффициенты (БЛ)'!$G$16+$D107*'Коэффициенты (БЛ)'!$G$17+$D106*'Коэффициенты (БЛ)'!$G$18+$D105*'Коэффициенты (БЛ)'!$G$19+$D104*'Коэффициенты (БЛ)'!$G$20+$D103*'Коэффициенты (БЛ)'!$G$21+$D102*'Коэффициенты (БЛ)'!$G$22+$D101*'Коэффициенты (БЛ)'!$G$23+$D100*'Коэффициенты (БЛ)'!$G$24+$D99*'Коэффициенты (БЛ)'!$G$25+$D98*'Коэффициенты (БЛ)'!$G$26+$D97*'Коэффициенты (БЛ)'!$G$27+$D96*'Коэффициенты (БЛ)'!$G$28+$D95*'Коэффициенты (БЛ)'!$G$29+$D94*'Коэффициенты (БЛ)'!$G$30+$D93*'Коэффициенты (БЛ)'!$G$31+$D92*'Коэффициенты (БЛ)'!$G$32+$D91*'Коэффициенты (БЛ)'!$G$33+$D90*'Коэффициенты (БЛ)'!$G$34+$D89*'Коэффициенты (БЛ)'!$G$35+$D88*'Коэффициенты (БЛ)'!$G$36+$D87*'Коэффициенты (БЛ)'!$G$37+$D86*'Коэффициенты (БЛ)'!$G$38+$D85*'Коэффициенты (БЛ)'!$G$39+$D84*'Коэффициенты (БЛ)'!$G$40+$D83*'Коэффициенты (БЛ)'!$G$41+$D82*'Коэффициенты (БЛ)'!$G$42+$D81*'Коэффициенты (БЛ)'!$G$43+$D80*'Коэффициенты (БЛ)'!$G$44+$D79*'Коэффициенты (БЛ)'!$G$45+$D78*'Коэффициенты (БЛ)'!$G$46+$D77*'Коэффициенты (БЛ)'!$G$47+$D76*'Коэффициенты (БЛ)'!$G$48+$D75*'Коэффициенты (БЛ)'!$G$49+$D74*'Коэффициенты (БЛ)'!$G$50+$D73*'Коэффициенты (БЛ)'!$G$51+$D72*'Коэффициенты (БЛ)'!$G$52+$D71*'Коэффициенты (БЛ)'!$G$53+$D70*'Коэффициенты (БЛ)'!$G$54+$D69*'Коэффициенты (БЛ)'!$G$55+$D68*'Коэффициенты (БЛ)'!$G$56+$D67*'Коэффициенты (БЛ)'!$G$57+$D66*'Коэффициенты (БЛ)'!$G$58+$D65*'Коэффициенты (БЛ)'!$G$59+$D64*'Коэффициенты (БЛ)'!$G$60+$D63*'Коэффициенты (БЛ)'!$G$61+$D62*'Коэффициенты (БЛ)'!$G$62+$D61*'Коэффициенты (БЛ)'!$G$63+$D60*'Коэффициенты (БЛ)'!$G$64+$D59*'Коэффициенты (БЛ)'!$G$65+$D58*'Коэффициенты (БЛ)'!$G$66</f>
        <v>75.953119288703604</v>
      </c>
      <c r="G118" s="43">
        <v>1</v>
      </c>
      <c r="H118" s="43">
        <f t="shared" si="6"/>
        <v>2902.1646130670629</v>
      </c>
      <c r="I118" s="43">
        <f t="shared" si="7"/>
        <v>75.953119288703604</v>
      </c>
    </row>
    <row r="119" spans="2:9" ht="18" customHeight="1" x14ac:dyDescent="0.35">
      <c r="B119" s="49"/>
      <c r="C119" s="36">
        <v>4</v>
      </c>
      <c r="D119" s="37">
        <f>'Обработка руды'!E93</f>
        <v>0</v>
      </c>
      <c r="E119" s="37">
        <f>$D118*'Коэффициенты (ПС)'!$G$8+Расчет!$D117*'Коэффициенты (ПС)'!$G$9+$D116*'Коэффициенты (ПС)'!$G$10+$D115*'Коэффициенты (ПС)'!$G$11+$D114*'Коэффициенты (ПС)'!$G$12+$D113*'Коэффициенты (ПС)'!$G$13+$D112*'Коэффициенты (ПС)'!$G$14+$D111*'Коэффициенты (ПС)'!$G$15+$D110*'Коэффициенты (ПС)'!$G$16+$D109*'Коэффициенты (ПС)'!$G$17+$D108*'Коэффициенты (ПС)'!$G$18+$D107*'Коэффициенты (ПС)'!$G$19+$D106*'Коэффициенты (ПС)'!$G$20+$D105*'Коэффициенты (ПС)'!$G$21+$D104*'Коэффициенты (ПС)'!$G$22+$D103*'Коэффициенты (ПС)'!$G$23+$D102*'Коэффициенты (ПС)'!$G$24+$D101*'Коэффициенты (ПС)'!$G$25+$D100*'Коэффициенты (ПС)'!$G$26+$D99*'Коэффициенты (ПС)'!$G$27+$D98*'Коэффициенты (ПС)'!$G$28+$D97*'Коэффициенты (ПС)'!$G$29+$D96*'Коэффициенты (ПС)'!$G$30+$D95*'Коэффициенты (ПС)'!$G$31+$D94*'Коэффициенты (ПС)'!$G$32+$D93*'Коэффициенты (ПС)'!$G$33+$D92*'Коэффициенты (ПС)'!$G$34+$D91*'Коэффициенты (ПС)'!$G$35+$D90*'Коэффициенты (ПС)'!$G$36+$D89*'Коэффициенты (ПС)'!$G$37+$D88*'Коэффициенты (ПС)'!$G$38+$D87*'Коэффициенты (ПС)'!$G$39+$D86*'Коэффициенты (ПС)'!$G$40+$D85*'Коэффициенты (ПС)'!$G$41+$D84*'Коэффициенты (ПС)'!$G$42+$D83*'Коэффициенты (ПС)'!$G$43+$D82*'Коэффициенты (ПС)'!$G$44+$D81*'Коэффициенты (ПС)'!$G$45+$D80*'Коэффициенты (ПС)'!$G$46+$D79*'Коэффициенты (ПС)'!$G$47+$D78*'Коэффициенты (ПС)'!$G$48+$D77*'Коэффициенты (ПС)'!$G$49+$D76*'Коэффициенты (ПС)'!$G$50+$D75*'Коэффициенты (ПС)'!$G$51+$D74*'Коэффициенты (ПС)'!$G$52+$D73*'Коэффициенты (ПС)'!$G$53+$D72*'Коэффициенты (ПС)'!$G$54+$D71*'Коэффициенты (ПС)'!$G$55+$D70*'Коэффициенты (ПС)'!$G$56+$D69*'Коэффициенты (ПС)'!$G$57+$D68*'Коэффициенты (ПС)'!$G$58+$D67*'Коэффициенты (ПС)'!$G$59+$D66*'Коэффициенты (ПС)'!$G$60+$D65*'Коэффициенты (ПС)'!$G$61+$D64*'Коэффициенты (ПС)'!$G$62+$D63*'Коэффициенты (ПС)'!$G$63+$D62*'Коэффициенты (ПС)'!$G$64+$D61*'Коэффициенты (ПС)'!$G$65+$D60*'Коэффициенты (ПС)'!$G$66+$D59*'Коэффициенты (ПС)'!$G$67</f>
        <v>2233.6675238427215</v>
      </c>
      <c r="F119" s="37">
        <f>$D118*'Коэффициенты (БЛ)'!$G$7+Расчет!$D117*'Коэффициенты (БЛ)'!$G$8+$D116*'Коэффициенты (БЛ)'!$G$9+$D115*'Коэффициенты (БЛ)'!$G$10+$D114*'Коэффициенты (БЛ)'!$G$11+$D113*'Коэффициенты (БЛ)'!$G$12+$D112*'Коэффициенты (БЛ)'!$G$13+$D111*'Коэффициенты (БЛ)'!$G$14+$D110*'Коэффициенты (БЛ)'!$G$15+$D109*'Коэффициенты (БЛ)'!$G$16+$D108*'Коэффициенты (БЛ)'!$G$17+$D107*'Коэффициенты (БЛ)'!$G$18+$D106*'Коэффициенты (БЛ)'!$G$19+$D105*'Коэффициенты (БЛ)'!$G$20+$D104*'Коэффициенты (БЛ)'!$G$21+$D103*'Коэффициенты (БЛ)'!$G$22+$D102*'Коэффициенты (БЛ)'!$G$23+$D101*'Коэффициенты (БЛ)'!$G$24+$D100*'Коэффициенты (БЛ)'!$G$25+$D99*'Коэффициенты (БЛ)'!$G$26+$D98*'Коэффициенты (БЛ)'!$G$27+$D97*'Коэффициенты (БЛ)'!$G$28+$D96*'Коэффициенты (БЛ)'!$G$29+$D95*'Коэффициенты (БЛ)'!$G$30+$D94*'Коэффициенты (БЛ)'!$G$31+$D93*'Коэффициенты (БЛ)'!$G$32+$D92*'Коэффициенты (БЛ)'!$G$33+$D91*'Коэффициенты (БЛ)'!$G$34+$D90*'Коэффициенты (БЛ)'!$G$35+$D89*'Коэффициенты (БЛ)'!$G$36+$D88*'Коэффициенты (БЛ)'!$G$37+$D87*'Коэффициенты (БЛ)'!$G$38+$D86*'Коэффициенты (БЛ)'!$G$39+$D85*'Коэффициенты (БЛ)'!$G$40+$D84*'Коэффициенты (БЛ)'!$G$41+$D83*'Коэффициенты (БЛ)'!$G$42+$D82*'Коэффициенты (БЛ)'!$G$43+$D81*'Коэффициенты (БЛ)'!$G$44+$D80*'Коэффициенты (БЛ)'!$G$45+$D79*'Коэффициенты (БЛ)'!$G$46+$D78*'Коэффициенты (БЛ)'!$G$47+$D77*'Коэффициенты (БЛ)'!$G$48+$D76*'Коэффициенты (БЛ)'!$G$49+$D75*'Коэффициенты (БЛ)'!$G$50+$D74*'Коэффициенты (БЛ)'!$G$51+$D73*'Коэффициенты (БЛ)'!$G$52+$D72*'Коэффициенты (БЛ)'!$G$53+$D71*'Коэффициенты (БЛ)'!$G$54+$D70*'Коэффициенты (БЛ)'!$G$55+$D69*'Коэффициенты (БЛ)'!$G$56+$D68*'Коэффициенты (БЛ)'!$G$57+$D67*'Коэффициенты (БЛ)'!$G$58+$D66*'Коэффициенты (БЛ)'!$G$59+$D65*'Коэффициенты (БЛ)'!$G$60+$D64*'Коэффициенты (БЛ)'!$G$61+$D63*'Коэффициенты (БЛ)'!$G$62+$D62*'Коэффициенты (БЛ)'!$G$63+$D61*'Коэффициенты (БЛ)'!$G$64+$D60*'Коэффициенты (БЛ)'!$G$65+$D59*'Коэффициенты (БЛ)'!$G$66</f>
        <v>58.457750854606353</v>
      </c>
      <c r="G119" s="43">
        <v>1</v>
      </c>
      <c r="H119" s="43">
        <f t="shared" si="6"/>
        <v>2233.6675238427215</v>
      </c>
      <c r="I119" s="43">
        <f t="shared" si="7"/>
        <v>58.457750854606353</v>
      </c>
    </row>
    <row r="120" spans="2:9" ht="18" customHeight="1" x14ac:dyDescent="0.35">
      <c r="B120" s="49"/>
      <c r="C120" s="36">
        <v>5</v>
      </c>
      <c r="D120" s="37">
        <f>'Обработка руды'!E94</f>
        <v>0</v>
      </c>
      <c r="E120" s="37">
        <f>$D119*'Коэффициенты (ПС)'!$G$8+Расчет!$D118*'Коэффициенты (ПС)'!$G$9+$D117*'Коэффициенты (ПС)'!$G$10+$D116*'Коэффициенты (ПС)'!$G$11+$D115*'Коэффициенты (ПС)'!$G$12+$D114*'Коэффициенты (ПС)'!$G$13+$D113*'Коэффициенты (ПС)'!$G$14+$D112*'Коэффициенты (ПС)'!$G$15+$D111*'Коэффициенты (ПС)'!$G$16+$D110*'Коэффициенты (ПС)'!$G$17+$D109*'Коэффициенты (ПС)'!$G$18+$D108*'Коэффициенты (ПС)'!$G$19+$D107*'Коэффициенты (ПС)'!$G$20+$D106*'Коэффициенты (ПС)'!$G$21+$D105*'Коэффициенты (ПС)'!$G$22+$D104*'Коэффициенты (ПС)'!$G$23+$D103*'Коэффициенты (ПС)'!$G$24+$D102*'Коэффициенты (ПС)'!$G$25+$D101*'Коэффициенты (ПС)'!$G$26+$D100*'Коэффициенты (ПС)'!$G$27+$D99*'Коэффициенты (ПС)'!$G$28+$D98*'Коэффициенты (ПС)'!$G$29+$D97*'Коэффициенты (ПС)'!$G$30+$D96*'Коэффициенты (ПС)'!$G$31+$D95*'Коэффициенты (ПС)'!$G$32+$D94*'Коэффициенты (ПС)'!$G$33+$D93*'Коэффициенты (ПС)'!$G$34+$D92*'Коэффициенты (ПС)'!$G$35+$D91*'Коэффициенты (ПС)'!$G$36+$D90*'Коэффициенты (ПС)'!$G$37+$D89*'Коэффициенты (ПС)'!$G$38+$D88*'Коэффициенты (ПС)'!$G$39+$D87*'Коэффициенты (ПС)'!$G$40+$D86*'Коэффициенты (ПС)'!$G$41+$D85*'Коэффициенты (ПС)'!$G$42+$D84*'Коэффициенты (ПС)'!$G$43+$D83*'Коэффициенты (ПС)'!$G$44+$D82*'Коэффициенты (ПС)'!$G$45+$D81*'Коэффициенты (ПС)'!$G$46+$D80*'Коэффициенты (ПС)'!$G$47+$D79*'Коэффициенты (ПС)'!$G$48+$D78*'Коэффициенты (ПС)'!$G$49+$D77*'Коэффициенты (ПС)'!$G$50+$D76*'Коэффициенты (ПС)'!$G$51+$D75*'Коэффициенты (ПС)'!$G$52+$D74*'Коэффициенты (ПС)'!$G$53+$D73*'Коэффициенты (ПС)'!$G$54+$D72*'Коэффициенты (ПС)'!$G$55+$D71*'Коэффициенты (ПС)'!$G$56+$D70*'Коэффициенты (ПС)'!$G$57+$D69*'Коэффициенты (ПС)'!$G$58+$D68*'Коэффициенты (ПС)'!$G$59+$D67*'Коэффициенты (ПС)'!$G$60+$D66*'Коэффициенты (ПС)'!$G$61+$D65*'Коэффициенты (ПС)'!$G$62+$D64*'Коэффициенты (ПС)'!$G$63+$D63*'Коэффициенты (ПС)'!$G$64+$D62*'Коэффициенты (ПС)'!$G$65+$D61*'Коэффициенты (ПС)'!$G$66+$D60*'Коэффициенты (ПС)'!$G$67</f>
        <v>2139.7138410163002</v>
      </c>
      <c r="F120" s="37">
        <f>$D119*'Коэффициенты (БЛ)'!$G$7+Расчет!$D118*'Коэффициенты (БЛ)'!$G$8+$D117*'Коэффициенты (БЛ)'!$G$9+$D116*'Коэффициенты (БЛ)'!$G$10+$D115*'Коэффициенты (БЛ)'!$G$11+$D114*'Коэффициенты (БЛ)'!$G$12+$D113*'Коэффициенты (БЛ)'!$G$13+$D112*'Коэффициенты (БЛ)'!$G$14+$D111*'Коэффициенты (БЛ)'!$G$15+$D110*'Коэффициенты (БЛ)'!$G$16+$D109*'Коэффициенты (БЛ)'!$G$17+$D108*'Коэффициенты (БЛ)'!$G$18+$D107*'Коэффициенты (БЛ)'!$G$19+$D106*'Коэффициенты (БЛ)'!$G$20+$D105*'Коэффициенты (БЛ)'!$G$21+$D104*'Коэффициенты (БЛ)'!$G$22+$D103*'Коэффициенты (БЛ)'!$G$23+$D102*'Коэффициенты (БЛ)'!$G$24+$D101*'Коэффициенты (БЛ)'!$G$25+$D100*'Коэффициенты (БЛ)'!$G$26+$D99*'Коэффициенты (БЛ)'!$G$27+$D98*'Коэффициенты (БЛ)'!$G$28+$D97*'Коэффициенты (БЛ)'!$G$29+$D96*'Коэффициенты (БЛ)'!$G$30+$D95*'Коэффициенты (БЛ)'!$G$31+$D94*'Коэффициенты (БЛ)'!$G$32+$D93*'Коэффициенты (БЛ)'!$G$33+$D92*'Коэффициенты (БЛ)'!$G$34+$D91*'Коэффициенты (БЛ)'!$G$35+$D90*'Коэффициенты (БЛ)'!$G$36+$D89*'Коэффициенты (БЛ)'!$G$37+$D88*'Коэффициенты (БЛ)'!$G$38+$D87*'Коэффициенты (БЛ)'!$G$39+$D86*'Коэффициенты (БЛ)'!$G$40+$D85*'Коэффициенты (БЛ)'!$G$41+$D84*'Коэффициенты (БЛ)'!$G$42+$D83*'Коэффициенты (БЛ)'!$G$43+$D82*'Коэффициенты (БЛ)'!$G$44+$D81*'Коэффициенты (БЛ)'!$G$45+$D80*'Коэффициенты (БЛ)'!$G$46+$D79*'Коэффициенты (БЛ)'!$G$47+$D78*'Коэффициенты (БЛ)'!$G$48+$D77*'Коэффициенты (БЛ)'!$G$49+$D76*'Коэффициенты (БЛ)'!$G$50+$D75*'Коэффициенты (БЛ)'!$G$51+$D74*'Коэффициенты (БЛ)'!$G$52+$D73*'Коэффициенты (БЛ)'!$G$53+$D72*'Коэффициенты (БЛ)'!$G$54+$D71*'Коэффициенты (БЛ)'!$G$55+$D70*'Коэффициенты (БЛ)'!$G$56+$D69*'Коэффициенты (БЛ)'!$G$57+$D68*'Коэффициенты (БЛ)'!$G$58+$D67*'Коэффициенты (БЛ)'!$G$59+$D66*'Коэффициенты (БЛ)'!$G$60+$D65*'Коэффициенты (БЛ)'!$G$61+$D64*'Коэффициенты (БЛ)'!$G$62+$D63*'Коэффициенты (БЛ)'!$G$63+$D62*'Коэффициенты (БЛ)'!$G$64+$D61*'Коэффициенты (БЛ)'!$G$65+$D60*'Коэффициенты (БЛ)'!$G$66</f>
        <v>55.998870594266201</v>
      </c>
      <c r="G120" s="43">
        <v>1</v>
      </c>
      <c r="H120" s="43">
        <f t="shared" si="6"/>
        <v>2139.7138410163002</v>
      </c>
      <c r="I120" s="43">
        <f t="shared" si="7"/>
        <v>55.998870594266201</v>
      </c>
    </row>
    <row r="121" spans="2:9" ht="18" customHeight="1" x14ac:dyDescent="0.35">
      <c r="B121" s="49"/>
      <c r="C121" s="36">
        <v>6</v>
      </c>
      <c r="D121" s="37">
        <f>'Обработка руды'!E95</f>
        <v>0</v>
      </c>
      <c r="E121" s="37">
        <f>$D120*'Коэффициенты (ПС)'!$G$8+Расчет!$D119*'Коэффициенты (ПС)'!$G$9+$D118*'Коэффициенты (ПС)'!$G$10+$D117*'Коэффициенты (ПС)'!$G$11+$D116*'Коэффициенты (ПС)'!$G$12+$D115*'Коэффициенты (ПС)'!$G$13+$D114*'Коэффициенты (ПС)'!$G$14+$D113*'Коэффициенты (ПС)'!$G$15+$D112*'Коэффициенты (ПС)'!$G$16+$D111*'Коэффициенты (ПС)'!$G$17+$D110*'Коэффициенты (ПС)'!$G$18+$D109*'Коэффициенты (ПС)'!$G$19+$D108*'Коэффициенты (ПС)'!$G$20+$D107*'Коэффициенты (ПС)'!$G$21+$D106*'Коэффициенты (ПС)'!$G$22+$D105*'Коэффициенты (ПС)'!$G$23+$D104*'Коэффициенты (ПС)'!$G$24+$D103*'Коэффициенты (ПС)'!$G$25+$D102*'Коэффициенты (ПС)'!$G$26+$D101*'Коэффициенты (ПС)'!$G$27+$D100*'Коэффициенты (ПС)'!$G$28+$D99*'Коэффициенты (ПС)'!$G$29+$D98*'Коэффициенты (ПС)'!$G$30+$D97*'Коэффициенты (ПС)'!$G$31+$D96*'Коэффициенты (ПС)'!$G$32+$D95*'Коэффициенты (ПС)'!$G$33+$D94*'Коэффициенты (ПС)'!$G$34+$D93*'Коэффициенты (ПС)'!$G$35+$D92*'Коэффициенты (ПС)'!$G$36+$D91*'Коэффициенты (ПС)'!$G$37+$D90*'Коэффициенты (ПС)'!$G$38+$D89*'Коэффициенты (ПС)'!$G$39+$D88*'Коэффициенты (ПС)'!$G$40+$D87*'Коэффициенты (ПС)'!$G$41+$D86*'Коэффициенты (ПС)'!$G$42+$D85*'Коэффициенты (ПС)'!$G$43+$D84*'Коэффициенты (ПС)'!$G$44+$D83*'Коэффициенты (ПС)'!$G$45+$D82*'Коэффициенты (ПС)'!$G$46+$D81*'Коэффициенты (ПС)'!$G$47+$D80*'Коэффициенты (ПС)'!$G$48+$D79*'Коэффициенты (ПС)'!$G$49+$D78*'Коэффициенты (ПС)'!$G$50+$D77*'Коэффициенты (ПС)'!$G$51+$D76*'Коэффициенты (ПС)'!$G$52+$D75*'Коэффициенты (ПС)'!$G$53+$D74*'Коэффициенты (ПС)'!$G$54+$D73*'Коэффициенты (ПС)'!$G$55+$D72*'Коэффициенты (ПС)'!$G$56+$D71*'Коэффициенты (ПС)'!$G$57+$D70*'Коэффициенты (ПС)'!$G$58+$D69*'Коэффициенты (ПС)'!$G$59+$D68*'Коэффициенты (ПС)'!$G$60+$D67*'Коэффициенты (ПС)'!$G$61+$D66*'Коэффициенты (ПС)'!$G$62+$D65*'Коэффициенты (ПС)'!$G$63+$D64*'Коэффициенты (ПС)'!$G$64+$D63*'Коэффициенты (ПС)'!$G$65+$D62*'Коэффициенты (ПС)'!$G$66+$D61*'Коэффициенты (ПС)'!$G$67</f>
        <v>1987.0978505034175</v>
      </c>
      <c r="F121" s="37">
        <f>$D120*'Коэффициенты (БЛ)'!$G$7+Расчет!$D119*'Коэффициенты (БЛ)'!$G$8+$D118*'Коэффициенты (БЛ)'!$G$9+$D117*'Коэффициенты (БЛ)'!$G$10+$D116*'Коэффициенты (БЛ)'!$G$11+$D115*'Коэффициенты (БЛ)'!$G$12+$D114*'Коэффициенты (БЛ)'!$G$13+$D113*'Коэффициенты (БЛ)'!$G$14+$D112*'Коэффициенты (БЛ)'!$G$15+$D111*'Коэффициенты (БЛ)'!$G$16+$D110*'Коэффициенты (БЛ)'!$G$17+$D109*'Коэффициенты (БЛ)'!$G$18+$D108*'Коэффициенты (БЛ)'!$G$19+$D107*'Коэффициенты (БЛ)'!$G$20+$D106*'Коэффициенты (БЛ)'!$G$21+$D105*'Коэффициенты (БЛ)'!$G$22+$D104*'Коэффициенты (БЛ)'!$G$23+$D103*'Коэффициенты (БЛ)'!$G$24+$D102*'Коэффициенты (БЛ)'!$G$25+$D101*'Коэффициенты (БЛ)'!$G$26+$D100*'Коэффициенты (БЛ)'!$G$27+$D99*'Коэффициенты (БЛ)'!$G$28+$D98*'Коэффициенты (БЛ)'!$G$29+$D97*'Коэффициенты (БЛ)'!$G$30+$D96*'Коэффициенты (БЛ)'!$G$31+$D95*'Коэффициенты (БЛ)'!$G$32+$D94*'Коэффициенты (БЛ)'!$G$33+$D93*'Коэффициенты (БЛ)'!$G$34+$D92*'Коэффициенты (БЛ)'!$G$35+$D91*'Коэффициенты (БЛ)'!$G$36+$D90*'Коэффициенты (БЛ)'!$G$37+$D89*'Коэффициенты (БЛ)'!$G$38+$D88*'Коэффициенты (БЛ)'!$G$39+$D87*'Коэффициенты (БЛ)'!$G$40+$D86*'Коэффициенты (БЛ)'!$G$41+$D85*'Коэффициенты (БЛ)'!$G$42+$D84*'Коэффициенты (БЛ)'!$G$43+$D83*'Коэффициенты (БЛ)'!$G$44+$D82*'Коэффициенты (БЛ)'!$G$45+$D81*'Коэффициенты (БЛ)'!$G$46+$D80*'Коэффициенты (БЛ)'!$G$47+$D79*'Коэффициенты (БЛ)'!$G$48+$D78*'Коэффициенты (БЛ)'!$G$49+$D77*'Коэффициенты (БЛ)'!$G$50+$D76*'Коэффициенты (БЛ)'!$G$51+$D75*'Коэффициенты (БЛ)'!$G$52+$D74*'Коэффициенты (БЛ)'!$G$53+$D73*'Коэффициенты (БЛ)'!$G$54+$D72*'Коэффициенты (БЛ)'!$G$55+$D71*'Коэффициенты (БЛ)'!$G$56+$D70*'Коэффициенты (БЛ)'!$G$57+$D69*'Коэффициенты (БЛ)'!$G$58+$D68*'Коэффициенты (БЛ)'!$G$59+$D67*'Коэффициенты (БЛ)'!$G$60+$D66*'Коэффициенты (БЛ)'!$G$61+$D65*'Коэффициенты (БЛ)'!$G$62+$D64*'Коэффициенты (БЛ)'!$G$63+$D63*'Коэффициенты (БЛ)'!$G$64+$D62*'Коэффициенты (БЛ)'!$G$65+$D61*'Коэффициенты (БЛ)'!$G$66</f>
        <v>52.004727574054137</v>
      </c>
      <c r="G121" s="43">
        <v>1</v>
      </c>
      <c r="H121" s="43">
        <f t="shared" si="6"/>
        <v>1987.0978505034175</v>
      </c>
      <c r="I121" s="43">
        <f t="shared" si="7"/>
        <v>52.004727574054137</v>
      </c>
    </row>
    <row r="122" spans="2:9" ht="18" customHeight="1" x14ac:dyDescent="0.35">
      <c r="B122" s="49"/>
      <c r="C122" s="36">
        <v>7</v>
      </c>
      <c r="D122" s="37">
        <f>'Обработка руды'!E96</f>
        <v>0</v>
      </c>
      <c r="E122" s="37">
        <f>$D121*'Коэффициенты (ПС)'!$G$8+Расчет!$D120*'Коэффициенты (ПС)'!$G$9+$D119*'Коэффициенты (ПС)'!$G$10+$D118*'Коэффициенты (ПС)'!$G$11+$D117*'Коэффициенты (ПС)'!$G$12+$D116*'Коэффициенты (ПС)'!$G$13+$D115*'Коэффициенты (ПС)'!$G$14+$D114*'Коэффициенты (ПС)'!$G$15+$D113*'Коэффициенты (ПС)'!$G$16+$D112*'Коэффициенты (ПС)'!$G$17+$D111*'Коэффициенты (ПС)'!$G$18+$D110*'Коэффициенты (ПС)'!$G$19+$D109*'Коэффициенты (ПС)'!$G$20+$D108*'Коэффициенты (ПС)'!$G$21+$D107*'Коэффициенты (ПС)'!$G$22+$D106*'Коэффициенты (ПС)'!$G$23+$D105*'Коэффициенты (ПС)'!$G$24+$D104*'Коэффициенты (ПС)'!$G$25+$D103*'Коэффициенты (ПС)'!$G$26+$D102*'Коэффициенты (ПС)'!$G$27+$D101*'Коэффициенты (ПС)'!$G$28+$D100*'Коэффициенты (ПС)'!$G$29+$D99*'Коэффициенты (ПС)'!$G$30+$D98*'Коэффициенты (ПС)'!$G$31+$D97*'Коэффициенты (ПС)'!$G$32+$D96*'Коэффициенты (ПС)'!$G$33+$D95*'Коэффициенты (ПС)'!$G$34+$D94*'Коэффициенты (ПС)'!$G$35+$D93*'Коэффициенты (ПС)'!$G$36+$D92*'Коэффициенты (ПС)'!$G$37+$D91*'Коэффициенты (ПС)'!$G$38+$D90*'Коэффициенты (ПС)'!$G$39+$D89*'Коэффициенты (ПС)'!$G$40+$D88*'Коэффициенты (ПС)'!$G$41+$D87*'Коэффициенты (ПС)'!$G$42+$D86*'Коэффициенты (ПС)'!$G$43+$D85*'Коэффициенты (ПС)'!$G$44+$D84*'Коэффициенты (ПС)'!$G$45+$D83*'Коэффициенты (ПС)'!$G$46+$D82*'Коэффициенты (ПС)'!$G$47+$D81*'Коэффициенты (ПС)'!$G$48+$D80*'Коэффициенты (ПС)'!$G$49+$D79*'Коэффициенты (ПС)'!$G$50+$D78*'Коэффициенты (ПС)'!$G$51+$D77*'Коэффициенты (ПС)'!$G$52+$D76*'Коэффициенты (ПС)'!$G$53+$D75*'Коэффициенты (ПС)'!$G$54+$D74*'Коэффициенты (ПС)'!$G$55+$D73*'Коэффициенты (ПС)'!$G$56+$D72*'Коэффициенты (ПС)'!$G$57+$D71*'Коэффициенты (ПС)'!$G$58+$D70*'Коэффициенты (ПС)'!$G$59+$D69*'Коэффициенты (ПС)'!$G$60+$D68*'Коэффициенты (ПС)'!$G$61+$D67*'Коэффициенты (ПС)'!$G$62+$D66*'Коэффициенты (ПС)'!$G$63+$D65*'Коэффициенты (ПС)'!$G$64+$D64*'Коэффициенты (ПС)'!$G$65+$D63*'Коэффициенты (ПС)'!$G$66+$D62*'Коэффициенты (ПС)'!$G$67</f>
        <v>1946.3288626603785</v>
      </c>
      <c r="F122" s="37">
        <f>$D121*'Коэффициенты (БЛ)'!$G$7+Расчет!$D120*'Коэффициенты (БЛ)'!$G$8+$D119*'Коэффициенты (БЛ)'!$G$9+$D118*'Коэффициенты (БЛ)'!$G$10+$D117*'Коэффициенты (БЛ)'!$G$11+$D116*'Коэффициенты (БЛ)'!$G$12+$D115*'Коэффициенты (БЛ)'!$G$13+$D114*'Коэффициенты (БЛ)'!$G$14+$D113*'Коэффициенты (БЛ)'!$G$15+$D112*'Коэффициенты (БЛ)'!$G$16+$D111*'Коэффициенты (БЛ)'!$G$17+$D110*'Коэффициенты (БЛ)'!$G$18+$D109*'Коэффициенты (БЛ)'!$G$19+$D108*'Коэффициенты (БЛ)'!$G$20+$D107*'Коэффициенты (БЛ)'!$G$21+$D106*'Коэффициенты (БЛ)'!$G$22+$D105*'Коэффициенты (БЛ)'!$G$23+$D104*'Коэффициенты (БЛ)'!$G$24+$D103*'Коэффициенты (БЛ)'!$G$25+$D102*'Коэффициенты (БЛ)'!$G$26+$D101*'Коэффициенты (БЛ)'!$G$27+$D100*'Коэффициенты (БЛ)'!$G$28+$D99*'Коэффициенты (БЛ)'!$G$29+$D98*'Коэффициенты (БЛ)'!$G$30+$D97*'Коэффициенты (БЛ)'!$G$31+$D96*'Коэффициенты (БЛ)'!$G$32+$D95*'Коэффициенты (БЛ)'!$G$33+$D94*'Коэффициенты (БЛ)'!$G$34+$D93*'Коэффициенты (БЛ)'!$G$35+$D92*'Коэффициенты (БЛ)'!$G$36+$D91*'Коэффициенты (БЛ)'!$G$37+$D90*'Коэффициенты (БЛ)'!$G$38+$D89*'Коэффициенты (БЛ)'!$G$39+$D88*'Коэффициенты (БЛ)'!$G$40+$D87*'Коэффициенты (БЛ)'!$G$41+$D86*'Коэффициенты (БЛ)'!$G$42+$D85*'Коэффициенты (БЛ)'!$G$43+$D84*'Коэффициенты (БЛ)'!$G$44+$D83*'Коэффициенты (БЛ)'!$G$45+$D82*'Коэффициенты (БЛ)'!$G$46+$D81*'Коэффициенты (БЛ)'!$G$47+$D80*'Коэффициенты (БЛ)'!$G$48+$D79*'Коэффициенты (БЛ)'!$G$49+$D78*'Коэффициенты (БЛ)'!$G$50+$D77*'Коэффициенты (БЛ)'!$G$51+$D76*'Коэффициенты (БЛ)'!$G$52+$D75*'Коэффициенты (БЛ)'!$G$53+$D74*'Коэффициенты (БЛ)'!$G$54+$D73*'Коэффициенты (БЛ)'!$G$55+$D72*'Коэффициенты (БЛ)'!$G$56+$D71*'Коэффициенты (БЛ)'!$G$57+$D70*'Коэффициенты (БЛ)'!$G$58+$D69*'Коэффициенты (БЛ)'!$G$59+$D68*'Коэффициенты (БЛ)'!$G$60+$D67*'Коэффициенты (БЛ)'!$G$61+$D66*'Коэффициенты (БЛ)'!$G$62+$D65*'Коэффициенты (БЛ)'!$G$63+$D64*'Коэффициенты (БЛ)'!$G$64+$D63*'Коэффициенты (БЛ)'!$G$65+$D62*'Коэффициенты (БЛ)'!$G$66</f>
        <v>50.93775439721221</v>
      </c>
      <c r="G122" s="43">
        <v>1</v>
      </c>
      <c r="H122" s="43">
        <f t="shared" si="6"/>
        <v>1946.3288626603785</v>
      </c>
      <c r="I122" s="43">
        <f t="shared" si="7"/>
        <v>50.93775439721221</v>
      </c>
    </row>
    <row r="123" spans="2:9" ht="18" customHeight="1" x14ac:dyDescent="0.35">
      <c r="B123" s="49"/>
      <c r="C123" s="36">
        <v>8</v>
      </c>
      <c r="D123" s="37">
        <f>'Обработка руды'!E97</f>
        <v>0</v>
      </c>
      <c r="E123" s="37">
        <f>$D122*'Коэффициенты (ПС)'!$G$8+Расчет!$D121*'Коэффициенты (ПС)'!$G$9+$D120*'Коэффициенты (ПС)'!$G$10+$D119*'Коэффициенты (ПС)'!$G$11+$D118*'Коэффициенты (ПС)'!$G$12+$D117*'Коэффициенты (ПС)'!$G$13+$D116*'Коэффициенты (ПС)'!$G$14+$D115*'Коэффициенты (ПС)'!$G$15+$D114*'Коэффициенты (ПС)'!$G$16+$D113*'Коэффициенты (ПС)'!$G$17+$D112*'Коэффициенты (ПС)'!$G$18+$D111*'Коэффициенты (ПС)'!$G$19+$D110*'Коэффициенты (ПС)'!$G$20+$D109*'Коэффициенты (ПС)'!$G$21+$D108*'Коэффициенты (ПС)'!$G$22+$D107*'Коэффициенты (ПС)'!$G$23+$D106*'Коэффициенты (ПС)'!$G$24+$D105*'Коэффициенты (ПС)'!$G$25+$D104*'Коэффициенты (ПС)'!$G$26+$D103*'Коэффициенты (ПС)'!$G$27+$D102*'Коэффициенты (ПС)'!$G$28+$D101*'Коэффициенты (ПС)'!$G$29+$D100*'Коэффициенты (ПС)'!$G$30+$D99*'Коэффициенты (ПС)'!$G$31+$D98*'Коэффициенты (ПС)'!$G$32+$D97*'Коэффициенты (ПС)'!$G$33+$D96*'Коэффициенты (ПС)'!$G$34+$D95*'Коэффициенты (ПС)'!$G$35+$D94*'Коэффициенты (ПС)'!$G$36+$D93*'Коэффициенты (ПС)'!$G$37+$D92*'Коэффициенты (ПС)'!$G$38+$D91*'Коэффициенты (ПС)'!$G$39+$D90*'Коэффициенты (ПС)'!$G$40+$D89*'Коэффициенты (ПС)'!$G$41+$D88*'Коэффициенты (ПС)'!$G$42+$D87*'Коэффициенты (ПС)'!$G$43+$D86*'Коэффициенты (ПС)'!$G$44+$D85*'Коэффициенты (ПС)'!$G$45+$D84*'Коэффициенты (ПС)'!$G$46+$D83*'Коэффициенты (ПС)'!$G$47+$D82*'Коэффициенты (ПС)'!$G$48+$D81*'Коэффициенты (ПС)'!$G$49+$D80*'Коэффициенты (ПС)'!$G$50+$D79*'Коэффициенты (ПС)'!$G$51+$D78*'Коэффициенты (ПС)'!$G$52+$D77*'Коэффициенты (ПС)'!$G$53+$D76*'Коэффициенты (ПС)'!$G$54+$D75*'Коэффициенты (ПС)'!$G$55+$D74*'Коэффициенты (ПС)'!$G$56+$D73*'Коэффициенты (ПС)'!$G$57+$D72*'Коэффициенты (ПС)'!$G$58+$D71*'Коэффициенты (ПС)'!$G$59+$D70*'Коэффициенты (ПС)'!$G$60+$D69*'Коэффициенты (ПС)'!$G$61+$D68*'Коэффициенты (ПС)'!$G$62+$D67*'Коэффициенты (ПС)'!$G$63+$D66*'Коэффициенты (ПС)'!$G$64+$D65*'Коэффициенты (ПС)'!$G$65+$D64*'Коэффициенты (ПС)'!$G$66+$D63*'Коэффициенты (ПС)'!$G$67</f>
        <v>1843.2640074658807</v>
      </c>
      <c r="F123" s="37">
        <f>$D122*'Коэффициенты (БЛ)'!$G$7+Расчет!$D121*'Коэффициенты (БЛ)'!$G$8+$D120*'Коэффициенты (БЛ)'!$G$9+$D119*'Коэффициенты (БЛ)'!$G$10+$D118*'Коэффициенты (БЛ)'!$G$11+$D117*'Коэффициенты (БЛ)'!$G$12+$D116*'Коэффициенты (БЛ)'!$G$13+$D115*'Коэффициенты (БЛ)'!$G$14+$D114*'Коэффициенты (БЛ)'!$G$15+$D113*'Коэффициенты (БЛ)'!$G$16+$D112*'Коэффициенты (БЛ)'!$G$17+$D111*'Коэффициенты (БЛ)'!$G$18+$D110*'Коэффициенты (БЛ)'!$G$19+$D109*'Коэффициенты (БЛ)'!$G$20+$D108*'Коэффициенты (БЛ)'!$G$21+$D107*'Коэффициенты (БЛ)'!$G$22+$D106*'Коэффициенты (БЛ)'!$G$23+$D105*'Коэффициенты (БЛ)'!$G$24+$D104*'Коэффициенты (БЛ)'!$G$25+$D103*'Коэффициенты (БЛ)'!$G$26+$D102*'Коэффициенты (БЛ)'!$G$27+$D101*'Коэффициенты (БЛ)'!$G$28+$D100*'Коэффициенты (БЛ)'!$G$29+$D99*'Коэффициенты (БЛ)'!$G$30+$D98*'Коэффициенты (БЛ)'!$G$31+$D97*'Коэффициенты (БЛ)'!$G$32+$D96*'Коэффициенты (БЛ)'!$G$33+$D95*'Коэффициенты (БЛ)'!$G$34+$D94*'Коэффициенты (БЛ)'!$G$35+$D93*'Коэффициенты (БЛ)'!$G$36+$D92*'Коэффициенты (БЛ)'!$G$37+$D91*'Коэффициенты (БЛ)'!$G$38+$D90*'Коэффициенты (БЛ)'!$G$39+$D89*'Коэффициенты (БЛ)'!$G$40+$D88*'Коэффициенты (БЛ)'!$G$41+$D87*'Коэффициенты (БЛ)'!$G$42+$D86*'Коэффициенты (БЛ)'!$G$43+$D85*'Коэффициенты (БЛ)'!$G$44+$D84*'Коэффициенты (БЛ)'!$G$45+$D83*'Коэффициенты (БЛ)'!$G$46+$D82*'Коэффициенты (БЛ)'!$G$47+$D81*'Коэффициенты (БЛ)'!$G$48+$D80*'Коэффициенты (БЛ)'!$G$49+$D79*'Коэффициенты (БЛ)'!$G$50+$D78*'Коэффициенты (БЛ)'!$G$51+$D77*'Коэффициенты (БЛ)'!$G$52+$D76*'Коэффициенты (БЛ)'!$G$53+$D75*'Коэффициенты (БЛ)'!$G$54+$D74*'Коэффициенты (БЛ)'!$G$55+$D73*'Коэффициенты (БЛ)'!$G$56+$D72*'Коэффициенты (БЛ)'!$G$57+$D71*'Коэффициенты (БЛ)'!$G$58+$D70*'Коэффициенты (БЛ)'!$G$59+$D69*'Коэффициенты (БЛ)'!$G$60+$D68*'Коэффициенты (БЛ)'!$G$61+$D67*'Коэффициенты (БЛ)'!$G$62+$D66*'Коэффициенты (БЛ)'!$G$63+$D65*'Коэффициенты (БЛ)'!$G$64+$D64*'Коэффициенты (БЛ)'!$G$65+$D63*'Коэффициенты (БЛ)'!$G$66</f>
        <v>48.240423857857436</v>
      </c>
      <c r="G123" s="43">
        <v>1</v>
      </c>
      <c r="H123" s="43">
        <f t="shared" si="6"/>
        <v>1843.2640074658807</v>
      </c>
      <c r="I123" s="43">
        <f t="shared" si="7"/>
        <v>48.240423857857436</v>
      </c>
    </row>
    <row r="124" spans="2:9" ht="18" customHeight="1" x14ac:dyDescent="0.35">
      <c r="B124" s="49"/>
      <c r="C124" s="36">
        <v>9</v>
      </c>
      <c r="D124" s="37">
        <f>'Обработка руды'!E98</f>
        <v>0</v>
      </c>
      <c r="E124" s="37">
        <f>$D123*'Коэффициенты (ПС)'!$G$8+Расчет!$D122*'Коэффициенты (ПС)'!$G$9+$D121*'Коэффициенты (ПС)'!$G$10+$D120*'Коэффициенты (ПС)'!$G$11+$D119*'Коэффициенты (ПС)'!$G$12+$D118*'Коэффициенты (ПС)'!$G$13+$D117*'Коэффициенты (ПС)'!$G$14+$D116*'Коэффициенты (ПС)'!$G$15+$D115*'Коэффициенты (ПС)'!$G$16+$D114*'Коэффициенты (ПС)'!$G$17+$D113*'Коэффициенты (ПС)'!$G$18+$D112*'Коэффициенты (ПС)'!$G$19+$D111*'Коэффициенты (ПС)'!$G$20+$D110*'Коэффициенты (ПС)'!$G$21+$D109*'Коэффициенты (ПС)'!$G$22+$D108*'Коэффициенты (ПС)'!$G$23+$D107*'Коэффициенты (ПС)'!$G$24+$D106*'Коэффициенты (ПС)'!$G$25+$D105*'Коэффициенты (ПС)'!$G$26+$D104*'Коэффициенты (ПС)'!$G$27+$D103*'Коэффициенты (ПС)'!$G$28+$D102*'Коэффициенты (ПС)'!$G$29+$D101*'Коэффициенты (ПС)'!$G$30+$D100*'Коэффициенты (ПС)'!$G$31+$D99*'Коэффициенты (ПС)'!$G$32+$D98*'Коэффициенты (ПС)'!$G$33+$D97*'Коэффициенты (ПС)'!$G$34+$D96*'Коэффициенты (ПС)'!$G$35+$D95*'Коэффициенты (ПС)'!$G$36+$D94*'Коэффициенты (ПС)'!$G$37+$D93*'Коэффициенты (ПС)'!$G$38+$D92*'Коэффициенты (ПС)'!$G$39+$D91*'Коэффициенты (ПС)'!$G$40+$D90*'Коэффициенты (ПС)'!$G$41+$D89*'Коэффициенты (ПС)'!$G$42+$D88*'Коэффициенты (ПС)'!$G$43+$D87*'Коэффициенты (ПС)'!$G$44+$D86*'Коэффициенты (ПС)'!$G$45+$D85*'Коэффициенты (ПС)'!$G$46+$D84*'Коэффициенты (ПС)'!$G$47+$D83*'Коэффициенты (ПС)'!$G$48+$D82*'Коэффициенты (ПС)'!$G$49+$D81*'Коэффициенты (ПС)'!$G$50+$D80*'Коэффициенты (ПС)'!$G$51+$D79*'Коэффициенты (ПС)'!$G$52+$D78*'Коэффициенты (ПС)'!$G$53+$D77*'Коэффициенты (ПС)'!$G$54+$D76*'Коэффициенты (ПС)'!$G$55+$D75*'Коэффициенты (ПС)'!$G$56+$D74*'Коэффициенты (ПС)'!$G$57+$D73*'Коэффициенты (ПС)'!$G$58+$D72*'Коэффициенты (ПС)'!$G$59+$D71*'Коэффициенты (ПС)'!$G$60+$D70*'Коэффициенты (ПС)'!$G$61+$D69*'Коэффициенты (ПС)'!$G$62+$D68*'Коэффициенты (ПС)'!$G$63+$D67*'Коэффициенты (ПС)'!$G$64+$D66*'Коэффициенты (ПС)'!$G$65+$D65*'Коэффициенты (ПС)'!$G$66+$D64*'Коэффициенты (ПС)'!$G$67</f>
        <v>1781.4331548243872</v>
      </c>
      <c r="F124" s="37">
        <f>$D123*'Коэффициенты (БЛ)'!$G$7+Расчет!$D122*'Коэффициенты (БЛ)'!$G$8+$D121*'Коэффициенты (БЛ)'!$G$9+$D120*'Коэффициенты (БЛ)'!$G$10+$D119*'Коэффициенты (БЛ)'!$G$11+$D118*'Коэффициенты (БЛ)'!$G$12+$D117*'Коэффициенты (БЛ)'!$G$13+$D116*'Коэффициенты (БЛ)'!$G$14+$D115*'Коэффициенты (БЛ)'!$G$15+$D114*'Коэффициенты (БЛ)'!$G$16+$D113*'Коэффициенты (БЛ)'!$G$17+$D112*'Коэффициенты (БЛ)'!$G$18+$D111*'Коэффициенты (БЛ)'!$G$19+$D110*'Коэффициенты (БЛ)'!$G$20+$D109*'Коэффициенты (БЛ)'!$G$21+$D108*'Коэффициенты (БЛ)'!$G$22+$D107*'Коэффициенты (БЛ)'!$G$23+$D106*'Коэффициенты (БЛ)'!$G$24+$D105*'Коэффициенты (БЛ)'!$G$25+$D104*'Коэффициенты (БЛ)'!$G$26+$D103*'Коэффициенты (БЛ)'!$G$27+$D102*'Коэффициенты (БЛ)'!$G$28+$D101*'Коэффициенты (БЛ)'!$G$29+$D100*'Коэффициенты (БЛ)'!$G$30+$D99*'Коэффициенты (БЛ)'!$G$31+$D98*'Коэффициенты (БЛ)'!$G$32+$D97*'Коэффициенты (БЛ)'!$G$33+$D96*'Коэффициенты (БЛ)'!$G$34+$D95*'Коэффициенты (БЛ)'!$G$35+$D94*'Коэффициенты (БЛ)'!$G$36+$D93*'Коэффициенты (БЛ)'!$G$37+$D92*'Коэффициенты (БЛ)'!$G$38+$D91*'Коэффициенты (БЛ)'!$G$39+$D90*'Коэффициенты (БЛ)'!$G$40+$D89*'Коэффициенты (БЛ)'!$G$41+$D88*'Коэффициенты (БЛ)'!$G$42+$D87*'Коэффициенты (БЛ)'!$G$43+$D86*'Коэффициенты (БЛ)'!$G$44+$D85*'Коэффициенты (БЛ)'!$G$45+$D84*'Коэффициенты (БЛ)'!$G$46+$D83*'Коэффициенты (БЛ)'!$G$47+$D82*'Коэффициенты (БЛ)'!$G$48+$D81*'Коэффициенты (БЛ)'!$G$49+$D80*'Коэффициенты (БЛ)'!$G$50+$D79*'Коэффициенты (БЛ)'!$G$51+$D78*'Коэффициенты (БЛ)'!$G$52+$D77*'Коэффициенты (БЛ)'!$G$53+$D76*'Коэффициенты (БЛ)'!$G$54+$D75*'Коэффициенты (БЛ)'!$G$55+$D74*'Коэффициенты (БЛ)'!$G$56+$D73*'Коэффициенты (БЛ)'!$G$57+$D72*'Коэффициенты (БЛ)'!$G$58+$D71*'Коэффициенты (БЛ)'!$G$59+$D70*'Коэффициенты (БЛ)'!$G$60+$D69*'Коэффициенты (БЛ)'!$G$61+$D68*'Коэффициенты (БЛ)'!$G$62+$D67*'Коэффициенты (БЛ)'!$G$63+$D66*'Коэффициенты (БЛ)'!$G$64+$D65*'Коэффициенты (БЛ)'!$G$65+$D64*'Коэффициенты (БЛ)'!$G$66</f>
        <v>46.622236486522006</v>
      </c>
      <c r="G124" s="43">
        <v>1</v>
      </c>
      <c r="H124" s="43">
        <f t="shared" si="6"/>
        <v>1781.4331548243872</v>
      </c>
      <c r="I124" s="43">
        <f t="shared" si="7"/>
        <v>46.622236486522006</v>
      </c>
    </row>
    <row r="125" spans="2:9" ht="18" customHeight="1" x14ac:dyDescent="0.35">
      <c r="B125" s="49"/>
      <c r="C125" s="36">
        <v>10</v>
      </c>
      <c r="D125" s="37">
        <f>'Обработка руды'!E99</f>
        <v>0</v>
      </c>
      <c r="E125" s="37">
        <f>$D124*'Коэффициенты (ПС)'!$G$8+Расчет!$D123*'Коэффициенты (ПС)'!$G$9+$D122*'Коэффициенты (ПС)'!$G$10+$D121*'Коэффициенты (ПС)'!$G$11+$D120*'Коэффициенты (ПС)'!$G$12+$D119*'Коэффициенты (ПС)'!$G$13+$D118*'Коэффициенты (ПС)'!$G$14+$D117*'Коэффициенты (ПС)'!$G$15+$D116*'Коэффициенты (ПС)'!$G$16+$D115*'Коэффициенты (ПС)'!$G$17+$D114*'Коэффициенты (ПС)'!$G$18+$D113*'Коэффициенты (ПС)'!$G$19+$D112*'Коэффициенты (ПС)'!$G$20+$D111*'Коэффициенты (ПС)'!$G$21+$D110*'Коэффициенты (ПС)'!$G$22+$D109*'Коэффициенты (ПС)'!$G$23+$D108*'Коэффициенты (ПС)'!$G$24+$D107*'Коэффициенты (ПС)'!$G$25+$D106*'Коэффициенты (ПС)'!$G$26+$D105*'Коэффициенты (ПС)'!$G$27+$D104*'Коэффициенты (ПС)'!$G$28+$D103*'Коэффициенты (ПС)'!$G$29+$D102*'Коэффициенты (ПС)'!$G$30+$D101*'Коэффициенты (ПС)'!$G$31+$D100*'Коэффициенты (ПС)'!$G$32+$D99*'Коэффициенты (ПС)'!$G$33+$D98*'Коэффициенты (ПС)'!$G$34+$D97*'Коэффициенты (ПС)'!$G$35+$D96*'Коэффициенты (ПС)'!$G$36+$D95*'Коэффициенты (ПС)'!$G$37+$D94*'Коэффициенты (ПС)'!$G$38+$D93*'Коэффициенты (ПС)'!$G$39+$D92*'Коэффициенты (ПС)'!$G$40+$D91*'Коэффициенты (ПС)'!$G$41+$D90*'Коэффициенты (ПС)'!$G$42+$D89*'Коэффициенты (ПС)'!$G$43+$D88*'Коэффициенты (ПС)'!$G$44+$D87*'Коэффициенты (ПС)'!$G$45+$D86*'Коэффициенты (ПС)'!$G$46+$D85*'Коэффициенты (ПС)'!$G$47+$D84*'Коэффициенты (ПС)'!$G$48+$D83*'Коэффициенты (ПС)'!$G$49+$D82*'Коэффициенты (ПС)'!$G$50+$D81*'Коэффициенты (ПС)'!$G$51+$D80*'Коэффициенты (ПС)'!$G$52+$D79*'Коэффициенты (ПС)'!$G$53+$D78*'Коэффициенты (ПС)'!$G$54+$D77*'Коэффициенты (ПС)'!$G$55+$D76*'Коэффициенты (ПС)'!$G$56+$D75*'Коэффициенты (ПС)'!$G$57+$D74*'Коэффициенты (ПС)'!$G$58+$D73*'Коэффициенты (ПС)'!$G$59+$D72*'Коэффициенты (ПС)'!$G$60+$D71*'Коэффициенты (ПС)'!$G$61+$D70*'Коэффициенты (ПС)'!$G$62+$D69*'Коэффициенты (ПС)'!$G$63+$D68*'Коэффициенты (ПС)'!$G$64+$D67*'Коэффициенты (ПС)'!$G$65+$D66*'Коэффициенты (ПС)'!$G$66+$D65*'Коэффициенты (ПС)'!$G$67</f>
        <v>1743.9899295354485</v>
      </c>
      <c r="F125" s="37">
        <f>$D124*'Коэффициенты (БЛ)'!$G$7+Расчет!$D123*'Коэффициенты (БЛ)'!$G$8+$D122*'Коэффициенты (БЛ)'!$G$9+$D121*'Коэффициенты (БЛ)'!$G$10+$D120*'Коэффициенты (БЛ)'!$G$11+$D119*'Коэффициенты (БЛ)'!$G$12+$D118*'Коэффициенты (БЛ)'!$G$13+$D117*'Коэффициенты (БЛ)'!$G$14+$D116*'Коэффициенты (БЛ)'!$G$15+$D115*'Коэффициенты (БЛ)'!$G$16+$D114*'Коэффициенты (БЛ)'!$G$17+$D113*'Коэффициенты (БЛ)'!$G$18+$D112*'Коэффициенты (БЛ)'!$G$19+$D111*'Коэффициенты (БЛ)'!$G$20+$D110*'Коэффициенты (БЛ)'!$G$21+$D109*'Коэффициенты (БЛ)'!$G$22+$D108*'Коэффициенты (БЛ)'!$G$23+$D107*'Коэффициенты (БЛ)'!$G$24+$D106*'Коэффициенты (БЛ)'!$G$25+$D105*'Коэффициенты (БЛ)'!$G$26+$D104*'Коэффициенты (БЛ)'!$G$27+$D103*'Коэффициенты (БЛ)'!$G$28+$D102*'Коэффициенты (БЛ)'!$G$29+$D101*'Коэффициенты (БЛ)'!$G$30+$D100*'Коэффициенты (БЛ)'!$G$31+$D99*'Коэффициенты (БЛ)'!$G$32+$D98*'Коэффициенты (БЛ)'!$G$33+$D97*'Коэффициенты (БЛ)'!$G$34+$D96*'Коэффициенты (БЛ)'!$G$35+$D95*'Коэффициенты (БЛ)'!$G$36+$D94*'Коэффициенты (БЛ)'!$G$37+$D93*'Коэффициенты (БЛ)'!$G$38+$D92*'Коэффициенты (БЛ)'!$G$39+$D91*'Коэффициенты (БЛ)'!$G$40+$D90*'Коэффициенты (БЛ)'!$G$41+$D89*'Коэффициенты (БЛ)'!$G$42+$D88*'Коэффициенты (БЛ)'!$G$43+$D87*'Коэффициенты (БЛ)'!$G$44+$D86*'Коэффициенты (БЛ)'!$G$45+$D85*'Коэффициенты (БЛ)'!$G$46+$D84*'Коэффициенты (БЛ)'!$G$47+$D83*'Коэффициенты (БЛ)'!$G$48+$D82*'Коэффициенты (БЛ)'!$G$49+$D81*'Коэффициенты (БЛ)'!$G$50+$D80*'Коэффициенты (БЛ)'!$G$51+$D79*'Коэффициенты (БЛ)'!$G$52+$D78*'Коэффициенты (БЛ)'!$G$53+$D77*'Коэффициенты (БЛ)'!$G$54+$D76*'Коэффициенты (БЛ)'!$G$55+$D75*'Коэффициенты (БЛ)'!$G$56+$D74*'Коэффициенты (БЛ)'!$G$57+$D73*'Коэффициенты (БЛ)'!$G$58+$D72*'Коэффициенты (БЛ)'!$G$59+$D71*'Коэффициенты (БЛ)'!$G$60+$D70*'Коэффициенты (БЛ)'!$G$61+$D69*'Коэффициенты (БЛ)'!$G$62+$D68*'Коэффициенты (БЛ)'!$G$63+$D67*'Коэффициенты (БЛ)'!$G$64+$D66*'Коэффициенты (БЛ)'!$G$65+$D65*'Коэффициенты (БЛ)'!$G$66</f>
        <v>45.64230249376363</v>
      </c>
      <c r="G125" s="43">
        <v>1</v>
      </c>
      <c r="H125" s="43">
        <f t="shared" si="6"/>
        <v>1743.9899295354485</v>
      </c>
      <c r="I125" s="43">
        <f t="shared" si="7"/>
        <v>45.64230249376363</v>
      </c>
    </row>
    <row r="126" spans="2:9" ht="18" customHeight="1" x14ac:dyDescent="0.35">
      <c r="B126" s="49"/>
      <c r="C126" s="36">
        <v>11</v>
      </c>
      <c r="D126" s="37">
        <f>'Обработка руды'!E100</f>
        <v>76819.656291480918</v>
      </c>
      <c r="E126" s="37">
        <f>$D125*'Коэффициенты (ПС)'!$G$8+Расчет!$D124*'Коэффициенты (ПС)'!$G$9+$D123*'Коэффициенты (ПС)'!$G$10+$D122*'Коэффициенты (ПС)'!$G$11+$D121*'Коэффициенты (ПС)'!$G$12+$D120*'Коэффициенты (ПС)'!$G$13+$D119*'Коэффициенты (ПС)'!$G$14+$D118*'Коэффициенты (ПС)'!$G$15+$D117*'Коэффициенты (ПС)'!$G$16+$D116*'Коэффициенты (ПС)'!$G$17+$D115*'Коэффициенты (ПС)'!$G$18+$D114*'Коэффициенты (ПС)'!$G$19+$D113*'Коэффициенты (ПС)'!$G$20+$D112*'Коэффициенты (ПС)'!$G$21+$D111*'Коэффициенты (ПС)'!$G$22+$D110*'Коэффициенты (ПС)'!$G$23+$D109*'Коэффициенты (ПС)'!$G$24+$D108*'Коэффициенты (ПС)'!$G$25+$D107*'Коэффициенты (ПС)'!$G$26+$D106*'Коэффициенты (ПС)'!$G$27+$D105*'Коэффициенты (ПС)'!$G$28+$D104*'Коэффициенты (ПС)'!$G$29+$D103*'Коэффициенты (ПС)'!$G$30+$D102*'Коэффициенты (ПС)'!$G$31+$D101*'Коэффициенты (ПС)'!$G$32+$D100*'Коэффициенты (ПС)'!$G$33+$D99*'Коэффициенты (ПС)'!$G$34+$D98*'Коэффициенты (ПС)'!$G$35+$D97*'Коэффициенты (ПС)'!$G$36+$D96*'Коэффициенты (ПС)'!$G$37+$D95*'Коэффициенты (ПС)'!$G$38+$D94*'Коэффициенты (ПС)'!$G$39+$D93*'Коэффициенты (ПС)'!$G$40+$D92*'Коэффициенты (ПС)'!$G$41+$D91*'Коэффициенты (ПС)'!$G$42+$D90*'Коэффициенты (ПС)'!$G$43+$D89*'Коэффициенты (ПС)'!$G$44+$D88*'Коэффициенты (ПС)'!$G$45+$D87*'Коэффициенты (ПС)'!$G$46+$D86*'Коэффициенты (ПС)'!$G$47+$D85*'Коэффициенты (ПС)'!$G$48+$D84*'Коэффициенты (ПС)'!$G$49+$D83*'Коэффициенты (ПС)'!$G$50+$D82*'Коэффициенты (ПС)'!$G$51+$D81*'Коэффициенты (ПС)'!$G$52+$D80*'Коэффициенты (ПС)'!$G$53+$D79*'Коэффициенты (ПС)'!$G$54+$D78*'Коэффициенты (ПС)'!$G$55+$D77*'Коэффициенты (ПС)'!$G$56+$D76*'Коэффициенты (ПС)'!$G$57+$D75*'Коэффициенты (ПС)'!$G$58+$D74*'Коэффициенты (ПС)'!$G$59+$D73*'Коэффициенты (ПС)'!$G$60+$D72*'Коэффициенты (ПС)'!$G$61+$D71*'Коэффициенты (ПС)'!$G$62+$D70*'Коэффициенты (ПС)'!$G$63+$D69*'Коэффициенты (ПС)'!$G$64+$D68*'Коэффициенты (ПС)'!$G$65+$D67*'Коэффициенты (ПС)'!$G$66+$D66*'Коэффициенты (ПС)'!$G$67</f>
        <v>1669.8505829580242</v>
      </c>
      <c r="F126" s="37">
        <f>$D125*'Коэффициенты (БЛ)'!$G$7+Расчет!$D124*'Коэффициенты (БЛ)'!$G$8+$D123*'Коэффициенты (БЛ)'!$G$9+$D122*'Коэффициенты (БЛ)'!$G$10+$D121*'Коэффициенты (БЛ)'!$G$11+$D120*'Коэффициенты (БЛ)'!$G$12+$D119*'Коэффициенты (БЛ)'!$G$13+$D118*'Коэффициенты (БЛ)'!$G$14+$D117*'Коэффициенты (БЛ)'!$G$15+$D116*'Коэффициенты (БЛ)'!$G$16+$D115*'Коэффициенты (БЛ)'!$G$17+$D114*'Коэффициенты (БЛ)'!$G$18+$D113*'Коэффициенты (БЛ)'!$G$19+$D112*'Коэффициенты (БЛ)'!$G$20+$D111*'Коэффициенты (БЛ)'!$G$21+$D110*'Коэффициенты (БЛ)'!$G$22+$D109*'Коэффициенты (БЛ)'!$G$23+$D108*'Коэффициенты (БЛ)'!$G$24+$D107*'Коэффициенты (БЛ)'!$G$25+$D106*'Коэффициенты (БЛ)'!$G$26+$D105*'Коэффициенты (БЛ)'!$G$27+$D104*'Коэффициенты (БЛ)'!$G$28+$D103*'Коэффициенты (БЛ)'!$G$29+$D102*'Коэффициенты (БЛ)'!$G$30+$D101*'Коэффициенты (БЛ)'!$G$31+$D100*'Коэффициенты (БЛ)'!$G$32+$D99*'Коэффициенты (БЛ)'!$G$33+$D98*'Коэффициенты (БЛ)'!$G$34+$D97*'Коэффициенты (БЛ)'!$G$35+$D96*'Коэффициенты (БЛ)'!$G$36+$D95*'Коэффициенты (БЛ)'!$G$37+$D94*'Коэффициенты (БЛ)'!$G$38+$D93*'Коэффициенты (БЛ)'!$G$39+$D92*'Коэффициенты (БЛ)'!$G$40+$D91*'Коэффициенты (БЛ)'!$G$41+$D90*'Коэффициенты (БЛ)'!$G$42+$D89*'Коэффициенты (БЛ)'!$G$43+$D88*'Коэффициенты (БЛ)'!$G$44+$D87*'Коэффициенты (БЛ)'!$G$45+$D86*'Коэффициенты (БЛ)'!$G$46+$D85*'Коэффициенты (БЛ)'!$G$47+$D84*'Коэффициенты (БЛ)'!$G$48+$D83*'Коэффициенты (БЛ)'!$G$49+$D82*'Коэффициенты (БЛ)'!$G$50+$D81*'Коэффициенты (БЛ)'!$G$51+$D80*'Коэффициенты (БЛ)'!$G$52+$D79*'Коэффициенты (БЛ)'!$G$53+$D78*'Коэффициенты (БЛ)'!$G$54+$D77*'Коэффициенты (БЛ)'!$G$55+$D76*'Коэффициенты (БЛ)'!$G$56+$D75*'Коэффициенты (БЛ)'!$G$57+$D74*'Коэффициенты (БЛ)'!$G$58+$D73*'Коэффициенты (БЛ)'!$G$59+$D72*'Коэффициенты (БЛ)'!$G$60+$D71*'Коэффициенты (БЛ)'!$G$61+$D70*'Коэффициенты (БЛ)'!$G$62+$D69*'Коэффициенты (БЛ)'!$G$63+$D68*'Коэффициенты (БЛ)'!$G$64+$D67*'Коэффициенты (БЛ)'!$G$65+$D66*'Коэффициенты (БЛ)'!$G$66</f>
        <v>43.701987113572294</v>
      </c>
      <c r="G126" s="43">
        <v>1</v>
      </c>
      <c r="H126" s="43">
        <f t="shared" si="6"/>
        <v>1669.8505829580242</v>
      </c>
      <c r="I126" s="43">
        <f t="shared" si="7"/>
        <v>43.701987113572294</v>
      </c>
    </row>
    <row r="127" spans="2:9" ht="18" customHeight="1" x14ac:dyDescent="0.35">
      <c r="B127" s="49"/>
      <c r="C127" s="36">
        <v>12</v>
      </c>
      <c r="D127" s="37">
        <f>'Обработка руды'!E101</f>
        <v>154624.17997131415</v>
      </c>
      <c r="E127" s="37">
        <f>$D126*'Коэффициенты (ПС)'!$G$8+Расчет!$D125*'Коэффициенты (ПС)'!$G$9+$D124*'Коэффициенты (ПС)'!$G$10+$D123*'Коэффициенты (ПС)'!$G$11+$D122*'Коэффициенты (ПС)'!$G$12+$D121*'Коэффициенты (ПС)'!$G$13+$D120*'Коэффициенты (ПС)'!$G$14+$D119*'Коэффициенты (ПС)'!$G$15+$D118*'Коэффициенты (ПС)'!$G$16+$D117*'Коэффициенты (ПС)'!$G$17+$D116*'Коэффициенты (ПС)'!$G$18+$D115*'Коэффициенты (ПС)'!$G$19+$D114*'Коэффициенты (ПС)'!$G$20+$D113*'Коэффициенты (ПС)'!$G$21+$D112*'Коэффициенты (ПС)'!$G$22+$D111*'Коэффициенты (ПС)'!$G$23+$D110*'Коэффициенты (ПС)'!$G$24+$D109*'Коэффициенты (ПС)'!$G$25+$D108*'Коэффициенты (ПС)'!$G$26+$D107*'Коэффициенты (ПС)'!$G$27+$D106*'Коэффициенты (ПС)'!$G$28+$D105*'Коэффициенты (ПС)'!$G$29+$D104*'Коэффициенты (ПС)'!$G$30+$D103*'Коэффициенты (ПС)'!$G$31+$D102*'Коэффициенты (ПС)'!$G$32+$D101*'Коэффициенты (ПС)'!$G$33+$D100*'Коэффициенты (ПС)'!$G$34+$D99*'Коэффициенты (ПС)'!$G$35+$D98*'Коэффициенты (ПС)'!$G$36+$D97*'Коэффициенты (ПС)'!$G$37+$D96*'Коэффициенты (ПС)'!$G$38+$D95*'Коэффициенты (ПС)'!$G$39+$D94*'Коэффициенты (ПС)'!$G$40+$D93*'Коэффициенты (ПС)'!$G$41+$D92*'Коэффициенты (ПС)'!$G$42+$D91*'Коэффициенты (ПС)'!$G$43+$D90*'Коэффициенты (ПС)'!$G$44+$D89*'Коэффициенты (ПС)'!$G$45+$D88*'Коэффициенты (ПС)'!$G$46+$D87*'Коэффициенты (ПС)'!$G$47+$D86*'Коэффициенты (ПС)'!$G$48+$D85*'Коэффициенты (ПС)'!$G$49+$D84*'Коэффициенты (ПС)'!$G$50+$D83*'Коэффициенты (ПС)'!$G$51+$D82*'Коэффициенты (ПС)'!$G$52+$D81*'Коэффициенты (ПС)'!$G$53+$D80*'Коэффициенты (ПС)'!$G$54+$D79*'Коэффициенты (ПС)'!$G$55+$D78*'Коэффициенты (ПС)'!$G$56+$D77*'Коэффициенты (ПС)'!$G$57+$D76*'Коэффициенты (ПС)'!$G$58+$D75*'Коэффициенты (ПС)'!$G$59+$D74*'Коэффициенты (ПС)'!$G$60+$D73*'Коэффициенты (ПС)'!$G$61+$D72*'Коэффициенты (ПС)'!$G$62+$D71*'Коэффициенты (ПС)'!$G$63+$D70*'Коэффициенты (ПС)'!$G$64+$D69*'Коэффициенты (ПС)'!$G$65+$D68*'Коэффициенты (ПС)'!$G$66+$D67*'Коэффициенты (ПС)'!$G$67</f>
        <v>2465.5345818096635</v>
      </c>
      <c r="F127" s="37">
        <f>$D126*'Коэффициенты (БЛ)'!$G$7+Расчет!$D125*'Коэффициенты (БЛ)'!$G$8+$D124*'Коэффициенты (БЛ)'!$G$9+$D123*'Коэффициенты (БЛ)'!$G$10+$D122*'Коэффициенты (БЛ)'!$G$11+$D121*'Коэффициенты (БЛ)'!$G$12+$D120*'Коэффициенты (БЛ)'!$G$13+$D119*'Коэффициенты (БЛ)'!$G$14+$D118*'Коэффициенты (БЛ)'!$G$15+$D117*'Коэффициенты (БЛ)'!$G$16+$D116*'Коэффициенты (БЛ)'!$G$17+$D115*'Коэффициенты (БЛ)'!$G$18+$D114*'Коэффициенты (БЛ)'!$G$19+$D113*'Коэффициенты (БЛ)'!$G$20+$D112*'Коэффициенты (БЛ)'!$G$21+$D111*'Коэффициенты (БЛ)'!$G$22+$D110*'Коэффициенты (БЛ)'!$G$23+$D109*'Коэффициенты (БЛ)'!$G$24+$D108*'Коэффициенты (БЛ)'!$G$25+$D107*'Коэффициенты (БЛ)'!$G$26+$D106*'Коэффициенты (БЛ)'!$G$27+$D105*'Коэффициенты (БЛ)'!$G$28+$D104*'Коэффициенты (БЛ)'!$G$29+$D103*'Коэффициенты (БЛ)'!$G$30+$D102*'Коэффициенты (БЛ)'!$G$31+$D101*'Коэффициенты (БЛ)'!$G$32+$D100*'Коэффициенты (БЛ)'!$G$33+$D99*'Коэффициенты (БЛ)'!$G$34+$D98*'Коэффициенты (БЛ)'!$G$35+$D97*'Коэффициенты (БЛ)'!$G$36+$D96*'Коэффициенты (БЛ)'!$G$37+$D95*'Коэффициенты (БЛ)'!$G$38+$D94*'Коэффициенты (БЛ)'!$G$39+$D93*'Коэффициенты (БЛ)'!$G$40+$D92*'Коэффициенты (БЛ)'!$G$41+$D91*'Коэффициенты (БЛ)'!$G$42+$D90*'Коэффициенты (БЛ)'!$G$43+$D89*'Коэффициенты (БЛ)'!$G$44+$D88*'Коэффициенты (БЛ)'!$G$45+$D87*'Коэффициенты (БЛ)'!$G$46+$D86*'Коэффициенты (БЛ)'!$G$47+$D85*'Коэффициенты (БЛ)'!$G$48+$D84*'Коэффициенты (БЛ)'!$G$49+$D83*'Коэффициенты (БЛ)'!$G$50+$D82*'Коэффициенты (БЛ)'!$G$51+$D81*'Коэффициенты (БЛ)'!$G$52+$D80*'Коэффициенты (БЛ)'!$G$53+$D79*'Коэффициенты (БЛ)'!$G$54+$D78*'Коэффициенты (БЛ)'!$G$55+$D77*'Коэффициенты (БЛ)'!$G$56+$D76*'Коэффициенты (БЛ)'!$G$57+$D75*'Коэффициенты (БЛ)'!$G$58+$D74*'Коэффициенты (БЛ)'!$G$59+$D73*'Коэффициенты (БЛ)'!$G$60+$D72*'Коэффициенты (БЛ)'!$G$61+$D71*'Коэффициенты (БЛ)'!$G$62+$D70*'Коэффициенты (БЛ)'!$G$63+$D69*'Коэффициенты (БЛ)'!$G$64+$D68*'Коэффициенты (БЛ)'!$G$65+$D67*'Коэффициенты (БЛ)'!$G$66</f>
        <v>64.525989104631819</v>
      </c>
      <c r="G127" s="43">
        <v>1</v>
      </c>
      <c r="H127" s="43">
        <f t="shared" ref="H127:H158" si="8">E127*G127</f>
        <v>2465.5345818096635</v>
      </c>
      <c r="I127" s="43">
        <f t="shared" ref="I127:I158" si="9">F127*G127</f>
        <v>64.525989104631819</v>
      </c>
    </row>
    <row r="128" spans="2:9" ht="18" customHeight="1" x14ac:dyDescent="0.35">
      <c r="B128" s="49">
        <v>2034</v>
      </c>
      <c r="C128" s="36">
        <v>1</v>
      </c>
      <c r="D128" s="37">
        <f>'Обработка руды'!E102</f>
        <v>0</v>
      </c>
      <c r="E128" s="37">
        <f>$D127*'Коэффициенты (ПС)'!$G$8+Расчет!$D126*'Коэффициенты (ПС)'!$G$9+$D125*'Коэффициенты (ПС)'!$G$10+$D124*'Коэффициенты (ПС)'!$G$11+$D123*'Коэффициенты (ПС)'!$G$12+$D122*'Коэффициенты (ПС)'!$G$13+$D121*'Коэффициенты (ПС)'!$G$14+$D120*'Коэффициенты (ПС)'!$G$15+$D119*'Коэффициенты (ПС)'!$G$16+$D118*'Коэффициенты (ПС)'!$G$17+$D117*'Коэффициенты (ПС)'!$G$18+$D116*'Коэффициенты (ПС)'!$G$19+$D115*'Коэффициенты (ПС)'!$G$20+$D114*'Коэффициенты (ПС)'!$G$21+$D113*'Коэффициенты (ПС)'!$G$22+$D112*'Коэффициенты (ПС)'!$G$23+$D111*'Коэффициенты (ПС)'!$G$24+$D110*'Коэффициенты (ПС)'!$G$25+$D109*'Коэффициенты (ПС)'!$G$26+$D108*'Коэффициенты (ПС)'!$G$27+$D107*'Коэффициенты (ПС)'!$G$28+$D106*'Коэффициенты (ПС)'!$G$29+$D105*'Коэффициенты (ПС)'!$G$30+$D104*'Коэффициенты (ПС)'!$G$31+$D103*'Коэффициенты (ПС)'!$G$32+$D102*'Коэффициенты (ПС)'!$G$33+$D101*'Коэффициенты (ПС)'!$G$34+$D100*'Коэффициенты (ПС)'!$G$35+$D99*'Коэффициенты (ПС)'!$G$36+$D98*'Коэффициенты (ПС)'!$G$37+$D97*'Коэффициенты (ПС)'!$G$38+$D96*'Коэффициенты (ПС)'!$G$39+$D95*'Коэффициенты (ПС)'!$G$40+$D94*'Коэффициенты (ПС)'!$G$41+$D93*'Коэффициенты (ПС)'!$G$42+$D92*'Коэффициенты (ПС)'!$G$43+$D91*'Коэффициенты (ПС)'!$G$44+$D90*'Коэффициенты (ПС)'!$G$45+$D89*'Коэффициенты (ПС)'!$G$46+$D88*'Коэффициенты (ПС)'!$G$47+$D87*'Коэффициенты (ПС)'!$G$48+$D86*'Коэффициенты (ПС)'!$G$49+$D85*'Коэффициенты (ПС)'!$G$50+$D84*'Коэффициенты (ПС)'!$G$51+$D83*'Коэффициенты (ПС)'!$G$52+$D82*'Коэффициенты (ПС)'!$G$53+$D81*'Коэффициенты (ПС)'!$G$54+$D80*'Коэффициенты (ПС)'!$G$55+$D79*'Коэффициенты (ПС)'!$G$56+$D78*'Коэффициенты (ПС)'!$G$57+$D77*'Коэффициенты (ПС)'!$G$58+$D76*'Коэффициенты (ПС)'!$G$59+$D75*'Коэффициенты (ПС)'!$G$60+$D74*'Коэффициенты (ПС)'!$G$61+$D73*'Коэффициенты (ПС)'!$G$62+$D72*'Коэффициенты (ПС)'!$G$63+$D71*'Коэффициенты (ПС)'!$G$64+$D70*'Коэффициенты (ПС)'!$G$65+$D69*'Коэффициенты (ПС)'!$G$66+$D68*'Коэффициенты (ПС)'!$G$67</f>
        <v>3453.7911786188038</v>
      </c>
      <c r="F128" s="37">
        <f>$D127*'Коэффициенты (БЛ)'!$G$7+Расчет!$D126*'Коэффициенты (БЛ)'!$G$8+$D125*'Коэффициенты (БЛ)'!$G$9+$D124*'Коэффициенты (БЛ)'!$G$10+$D123*'Коэффициенты (БЛ)'!$G$11+$D122*'Коэффициенты (БЛ)'!$G$12+$D121*'Коэффициенты (БЛ)'!$G$13+$D120*'Коэффициенты (БЛ)'!$G$14+$D119*'Коэффициенты (БЛ)'!$G$15+$D118*'Коэффициенты (БЛ)'!$G$16+$D117*'Коэффициенты (БЛ)'!$G$17+$D116*'Коэффициенты (БЛ)'!$G$18+$D115*'Коэффициенты (БЛ)'!$G$19+$D114*'Коэффициенты (БЛ)'!$G$20+$D113*'Коэффициенты (БЛ)'!$G$21+$D112*'Коэффициенты (БЛ)'!$G$22+$D111*'Коэффициенты (БЛ)'!$G$23+$D110*'Коэффициенты (БЛ)'!$G$24+$D109*'Коэффициенты (БЛ)'!$G$25+$D108*'Коэффициенты (БЛ)'!$G$26+$D107*'Коэффициенты (БЛ)'!$G$27+$D106*'Коэффициенты (БЛ)'!$G$28+$D105*'Коэффициенты (БЛ)'!$G$29+$D104*'Коэффициенты (БЛ)'!$G$30+$D103*'Коэффициенты (БЛ)'!$G$31+$D102*'Коэффициенты (БЛ)'!$G$32+$D101*'Коэффициенты (БЛ)'!$G$33+$D100*'Коэффициенты (БЛ)'!$G$34+$D99*'Коэффициенты (БЛ)'!$G$35+$D98*'Коэффициенты (БЛ)'!$G$36+$D97*'Коэффициенты (БЛ)'!$G$37+$D96*'Коэффициенты (БЛ)'!$G$38+$D95*'Коэффициенты (БЛ)'!$G$39+$D94*'Коэффициенты (БЛ)'!$G$40+$D93*'Коэффициенты (БЛ)'!$G$41+$D92*'Коэффициенты (БЛ)'!$G$42+$D91*'Коэффициенты (БЛ)'!$G$43+$D90*'Коэффициенты (БЛ)'!$G$44+$D89*'Коэффициенты (БЛ)'!$G$45+$D88*'Коэффициенты (БЛ)'!$G$46+$D87*'Коэффициенты (БЛ)'!$G$47+$D86*'Коэффициенты (БЛ)'!$G$48+$D85*'Коэффициенты (БЛ)'!$G$49+$D84*'Коэффициенты (БЛ)'!$G$50+$D83*'Коэффициенты (БЛ)'!$G$51+$D82*'Коэффициенты (БЛ)'!$G$52+$D81*'Коэффициенты (БЛ)'!$G$53+$D80*'Коэффициенты (БЛ)'!$G$54+$D79*'Коэффициенты (БЛ)'!$G$55+$D78*'Коэффициенты (БЛ)'!$G$56+$D77*'Коэффициенты (БЛ)'!$G$57+$D76*'Коэффициенты (БЛ)'!$G$58+$D75*'Коэффициенты (БЛ)'!$G$59+$D74*'Коэффициенты (БЛ)'!$G$60+$D73*'Коэффициенты (БЛ)'!$G$61+$D72*'Коэффициенты (БЛ)'!$G$62+$D71*'Коэффициенты (БЛ)'!$G$63+$D70*'Коэффициенты (БЛ)'!$G$64+$D69*'Коэффициенты (БЛ)'!$G$65+$D68*'Коэффициенты (БЛ)'!$G$66</f>
        <v>90.389846326006648</v>
      </c>
      <c r="G128" s="43">
        <v>1</v>
      </c>
      <c r="H128" s="43">
        <f t="shared" si="8"/>
        <v>3453.7911786188038</v>
      </c>
      <c r="I128" s="43">
        <f t="shared" si="9"/>
        <v>90.389846326006648</v>
      </c>
    </row>
    <row r="129" spans="2:9" ht="18" customHeight="1" x14ac:dyDescent="0.35">
      <c r="B129" s="49"/>
      <c r="C129" s="36">
        <v>2</v>
      </c>
      <c r="D129" s="37">
        <f>'Обработка руды'!E103</f>
        <v>68556.452423824332</v>
      </c>
      <c r="E129" s="37">
        <f>$D128*'Коэффициенты (ПС)'!$G$8+Расчет!$D127*'Коэффициенты (ПС)'!$G$9+$D126*'Коэффициенты (ПС)'!$G$10+$D125*'Коэффициенты (ПС)'!$G$11+$D124*'Коэффициенты (ПС)'!$G$12+$D123*'Коэффициенты (ПС)'!$G$13+$D122*'Коэффициенты (ПС)'!$G$14+$D121*'Коэффициенты (ПС)'!$G$15+$D120*'Коэффициенты (ПС)'!$G$16+$D119*'Коэффициенты (ПС)'!$G$17+$D118*'Коэффициенты (ПС)'!$G$18+$D117*'Коэффициенты (ПС)'!$G$19+$D116*'Коэффициенты (ПС)'!$G$20+$D115*'Коэффициенты (ПС)'!$G$21+$D114*'Коэффициенты (ПС)'!$G$22+$D113*'Коэффициенты (ПС)'!$G$23+$D112*'Коэффициенты (ПС)'!$G$24+$D111*'Коэффициенты (ПС)'!$G$25+$D110*'Коэффициенты (ПС)'!$G$26+$D109*'Коэффициенты (ПС)'!$G$27+$D108*'Коэффициенты (ПС)'!$G$28+$D107*'Коэффициенты (ПС)'!$G$29+$D106*'Коэффициенты (ПС)'!$G$30+$D105*'Коэффициенты (ПС)'!$G$31+$D104*'Коэффициенты (ПС)'!$G$32+$D103*'Коэффициенты (ПС)'!$G$33+$D102*'Коэффициенты (ПС)'!$G$34+$D101*'Коэффициенты (ПС)'!$G$35+$D100*'Коэффициенты (ПС)'!$G$36+$D99*'Коэффициенты (ПС)'!$G$37+$D98*'Коэффициенты (ПС)'!$G$38+$D97*'Коэффициенты (ПС)'!$G$39+$D96*'Коэффициенты (ПС)'!$G$40+$D95*'Коэффициенты (ПС)'!$G$41+$D94*'Коэффициенты (ПС)'!$G$42+$D93*'Коэффициенты (ПС)'!$G$43+$D92*'Коэффициенты (ПС)'!$G$44+$D91*'Коэффициенты (ПС)'!$G$45+$D90*'Коэффициенты (ПС)'!$G$46+$D89*'Коэффициенты (ПС)'!$G$47+$D88*'Коэффициенты (ПС)'!$G$48+$D87*'Коэффициенты (ПС)'!$G$49+$D86*'Коэффициенты (ПС)'!$G$50+$D85*'Коэффициенты (ПС)'!$G$51+$D84*'Коэффициенты (ПС)'!$G$52+$D83*'Коэффициенты (ПС)'!$G$53+$D82*'Коэффициенты (ПС)'!$G$54+$D81*'Коэффициенты (ПС)'!$G$55+$D80*'Коэффициенты (ПС)'!$G$56+$D79*'Коэффициенты (ПС)'!$G$57+$D78*'Коэффициенты (ПС)'!$G$58+$D77*'Коэффициенты (ПС)'!$G$59+$D76*'Коэффициенты (ПС)'!$G$60+$D75*'Коэффициенты (ПС)'!$G$61+$D74*'Коэффициенты (ПС)'!$G$62+$D73*'Коэффициенты (ПС)'!$G$63+$D72*'Коэффициенты (ПС)'!$G$64+$D71*'Коэффициенты (ПС)'!$G$65+$D70*'Коэффициенты (ПС)'!$G$66+$D69*'Коэффициенты (ПС)'!$G$67</f>
        <v>2284.0041439582333</v>
      </c>
      <c r="F129" s="37">
        <f>$D128*'Коэффициенты (БЛ)'!$G$7+Расчет!$D127*'Коэффициенты (БЛ)'!$G$8+$D126*'Коэффициенты (БЛ)'!$G$9+$D125*'Коэффициенты (БЛ)'!$G$10+$D124*'Коэффициенты (БЛ)'!$G$11+$D123*'Коэффициенты (БЛ)'!$G$12+$D122*'Коэффициенты (БЛ)'!$G$13+$D121*'Коэффициенты (БЛ)'!$G$14+$D120*'Коэффициенты (БЛ)'!$G$15+$D119*'Коэффициенты (БЛ)'!$G$16+$D118*'Коэффициенты (БЛ)'!$G$17+$D117*'Коэффициенты (БЛ)'!$G$18+$D116*'Коэффициенты (БЛ)'!$G$19+$D115*'Коэффициенты (БЛ)'!$G$20+$D114*'Коэффициенты (БЛ)'!$G$21+$D113*'Коэффициенты (БЛ)'!$G$22+$D112*'Коэффициенты (БЛ)'!$G$23+$D111*'Коэффициенты (БЛ)'!$G$24+$D110*'Коэффициенты (БЛ)'!$G$25+$D109*'Коэффициенты (БЛ)'!$G$26+$D108*'Коэффициенты (БЛ)'!$G$27+$D107*'Коэффициенты (БЛ)'!$G$28+$D106*'Коэффициенты (БЛ)'!$G$29+$D105*'Коэффициенты (БЛ)'!$G$30+$D104*'Коэффициенты (БЛ)'!$G$31+$D103*'Коэффициенты (БЛ)'!$G$32+$D102*'Коэффициенты (БЛ)'!$G$33+$D101*'Коэффициенты (БЛ)'!$G$34+$D100*'Коэффициенты (БЛ)'!$G$35+$D99*'Коэффициенты (БЛ)'!$G$36+$D98*'Коэффициенты (БЛ)'!$G$37+$D97*'Коэффициенты (БЛ)'!$G$38+$D96*'Коэффициенты (БЛ)'!$G$39+$D95*'Коэффициенты (БЛ)'!$G$40+$D94*'Коэффициенты (БЛ)'!$G$41+$D93*'Коэффициенты (БЛ)'!$G$42+$D92*'Коэффициенты (БЛ)'!$G$43+$D91*'Коэффициенты (БЛ)'!$G$44+$D90*'Коэффициенты (БЛ)'!$G$45+$D89*'Коэффициенты (БЛ)'!$G$46+$D88*'Коэффициенты (БЛ)'!$G$47+$D87*'Коэффициенты (БЛ)'!$G$48+$D86*'Коэффициенты (БЛ)'!$G$49+$D85*'Коэффициенты (БЛ)'!$G$50+$D84*'Коэффициенты (БЛ)'!$G$51+$D83*'Коэффициенты (БЛ)'!$G$52+$D82*'Коэффициенты (БЛ)'!$G$53+$D81*'Коэффициенты (БЛ)'!$G$54+$D80*'Коэффициенты (БЛ)'!$G$55+$D79*'Коэффициенты (БЛ)'!$G$56+$D78*'Коэффициенты (БЛ)'!$G$57+$D77*'Коэффициенты (БЛ)'!$G$58+$D76*'Коэффициенты (БЛ)'!$G$59+$D75*'Коэффициенты (БЛ)'!$G$60+$D74*'Коэффициенты (БЛ)'!$G$61+$D73*'Коэффициенты (БЛ)'!$G$62+$D72*'Коэффициенты (БЛ)'!$G$63+$D71*'Коэффициенты (БЛ)'!$G$64+$D70*'Коэффициенты (БЛ)'!$G$65+$D69*'Коэффициенты (БЛ)'!$G$66</f>
        <v>59.775120412146123</v>
      </c>
      <c r="G129" s="43">
        <v>1</v>
      </c>
      <c r="H129" s="43">
        <f t="shared" si="8"/>
        <v>2284.0041439582333</v>
      </c>
      <c r="I129" s="43">
        <f t="shared" si="9"/>
        <v>59.775120412146123</v>
      </c>
    </row>
    <row r="130" spans="2:9" ht="18" customHeight="1" x14ac:dyDescent="0.35">
      <c r="B130" s="49"/>
      <c r="C130" s="36">
        <v>3</v>
      </c>
      <c r="D130" s="37">
        <f>'Обработка руды'!E104</f>
        <v>0</v>
      </c>
      <c r="E130" s="37">
        <f>$D129*'Коэффициенты (ПС)'!$G$8+Расчет!$D128*'Коэффициенты (ПС)'!$G$9+$D127*'Коэффициенты (ПС)'!$G$10+$D126*'Коэффициенты (ПС)'!$G$11+$D125*'Коэффициенты (ПС)'!$G$12+$D124*'Коэффициенты (ПС)'!$G$13+$D123*'Коэффициенты (ПС)'!$G$14+$D122*'Коэффициенты (ПС)'!$G$15+$D121*'Коэффициенты (ПС)'!$G$16+$D120*'Коэффициенты (ПС)'!$G$17+$D119*'Коэффициенты (ПС)'!$G$18+$D118*'Коэффициенты (ПС)'!$G$19+$D117*'Коэффициенты (ПС)'!$G$20+$D116*'Коэффициенты (ПС)'!$G$21+$D115*'Коэффициенты (ПС)'!$G$22+$D114*'Коэффициенты (ПС)'!$G$23+$D113*'Коэффициенты (ПС)'!$G$24+$D112*'Коэффициенты (ПС)'!$G$25+$D111*'Коэффициенты (ПС)'!$G$26+$D110*'Коэффициенты (ПС)'!$G$27+$D109*'Коэффициенты (ПС)'!$G$28+$D108*'Коэффициенты (ПС)'!$G$29+$D107*'Коэффициенты (ПС)'!$G$30+$D106*'Коэффициенты (ПС)'!$G$31+$D105*'Коэффициенты (ПС)'!$G$32+$D104*'Коэффициенты (ПС)'!$G$33+$D103*'Коэффициенты (ПС)'!$G$34+$D102*'Коэффициенты (ПС)'!$G$35+$D101*'Коэффициенты (ПС)'!$G$36+$D100*'Коэффициенты (ПС)'!$G$37+$D99*'Коэффициенты (ПС)'!$G$38+$D98*'Коэффициенты (ПС)'!$G$39+$D97*'Коэффициенты (ПС)'!$G$40+$D96*'Коэффициенты (ПС)'!$G$41+$D95*'Коэффициенты (ПС)'!$G$42+$D94*'Коэффициенты (ПС)'!$G$43+$D93*'Коэффициенты (ПС)'!$G$44+$D92*'Коэффициенты (ПС)'!$G$45+$D91*'Коэффициенты (ПС)'!$G$46+$D90*'Коэффициенты (ПС)'!$G$47+$D89*'Коэффициенты (ПС)'!$G$48+$D88*'Коэффициенты (ПС)'!$G$49+$D87*'Коэффициенты (ПС)'!$G$50+$D86*'Коэффициенты (ПС)'!$G$51+$D85*'Коэффициенты (ПС)'!$G$52+$D84*'Коэффициенты (ПС)'!$G$53+$D83*'Коэффициенты (ПС)'!$G$54+$D82*'Коэффициенты (ПС)'!$G$55+$D81*'Коэффициенты (ПС)'!$G$56+$D80*'Коэффициенты (ПС)'!$G$57+$D79*'Коэффициенты (ПС)'!$G$58+$D78*'Коэффициенты (ПС)'!$G$59+$D77*'Коэффициенты (ПС)'!$G$60+$D76*'Коэффициенты (ПС)'!$G$61+$D75*'Коэффициенты (ПС)'!$G$62+$D74*'Коэффициенты (ПС)'!$G$63+$D73*'Коэффициенты (ПС)'!$G$64+$D72*'Коэффициенты (ПС)'!$G$65+$D71*'Коэффициенты (ПС)'!$G$66+$D70*'Коэффициенты (ПС)'!$G$67</f>
        <v>2874.6416788741667</v>
      </c>
      <c r="F130" s="37">
        <f>$D129*'Коэффициенты (БЛ)'!$G$7+Расчет!$D128*'Коэффициенты (БЛ)'!$G$8+$D127*'Коэффициенты (БЛ)'!$G$9+$D126*'Коэффициенты (БЛ)'!$G$10+$D125*'Коэффициенты (БЛ)'!$G$11+$D124*'Коэффициенты (БЛ)'!$G$12+$D123*'Коэффициенты (БЛ)'!$G$13+$D122*'Коэффициенты (БЛ)'!$G$14+$D121*'Коэффициенты (БЛ)'!$G$15+$D120*'Коэффициенты (БЛ)'!$G$16+$D119*'Коэффициенты (БЛ)'!$G$17+$D118*'Коэффициенты (БЛ)'!$G$18+$D117*'Коэффициенты (БЛ)'!$G$19+$D116*'Коэффициенты (БЛ)'!$G$20+$D115*'Коэффициенты (БЛ)'!$G$21+$D114*'Коэффициенты (БЛ)'!$G$22+$D113*'Коэффициенты (БЛ)'!$G$23+$D112*'Коэффициенты (БЛ)'!$G$24+$D111*'Коэффициенты (БЛ)'!$G$25+$D110*'Коэффициенты (БЛ)'!$G$26+$D109*'Коэффициенты (БЛ)'!$G$27+$D108*'Коэффициенты (БЛ)'!$G$28+$D107*'Коэффициенты (БЛ)'!$G$29+$D106*'Коэффициенты (БЛ)'!$G$30+$D105*'Коэффициенты (БЛ)'!$G$31+$D104*'Коэффициенты (БЛ)'!$G$32+$D103*'Коэффициенты (БЛ)'!$G$33+$D102*'Коэффициенты (БЛ)'!$G$34+$D101*'Коэффициенты (БЛ)'!$G$35+$D100*'Коэффициенты (БЛ)'!$G$36+$D99*'Коэффициенты (БЛ)'!$G$37+$D98*'Коэффициенты (БЛ)'!$G$38+$D97*'Коэффициенты (БЛ)'!$G$39+$D96*'Коэффициенты (БЛ)'!$G$40+$D95*'Коэффициенты (БЛ)'!$G$41+$D94*'Коэффициенты (БЛ)'!$G$42+$D93*'Коэффициенты (БЛ)'!$G$43+$D92*'Коэффициенты (БЛ)'!$G$44+$D91*'Коэффициенты (БЛ)'!$G$45+$D90*'Коэффициенты (БЛ)'!$G$46+$D89*'Коэффициенты (БЛ)'!$G$47+$D88*'Коэффициенты (БЛ)'!$G$48+$D87*'Коэффициенты (БЛ)'!$G$49+$D86*'Коэффициенты (БЛ)'!$G$50+$D85*'Коэффициенты (БЛ)'!$G$51+$D84*'Коэффициенты (БЛ)'!$G$52+$D83*'Коэффициенты (БЛ)'!$G$53+$D82*'Коэффициенты (БЛ)'!$G$54+$D81*'Коэффициенты (БЛ)'!$G$55+$D80*'Коэффициенты (БЛ)'!$G$56+$D79*'Коэффициенты (БЛ)'!$G$57+$D78*'Коэффициенты (БЛ)'!$G$58+$D77*'Коэффициенты (БЛ)'!$G$59+$D76*'Коэффициенты (БЛ)'!$G$60+$D75*'Коэффициенты (БЛ)'!$G$61+$D74*'Коэффициенты (БЛ)'!$G$62+$D73*'Коэффициенты (БЛ)'!$G$63+$D72*'Коэффициенты (БЛ)'!$G$64+$D71*'Коэффициенты (БЛ)'!$G$65+$D70*'Коэффициенты (БЛ)'!$G$66</f>
        <v>75.232811179881679</v>
      </c>
      <c r="G130" s="43">
        <v>1</v>
      </c>
      <c r="H130" s="43">
        <f t="shared" si="8"/>
        <v>2874.6416788741667</v>
      </c>
      <c r="I130" s="43">
        <f t="shared" si="9"/>
        <v>75.232811179881679</v>
      </c>
    </row>
    <row r="131" spans="2:9" ht="18" customHeight="1" x14ac:dyDescent="0.35">
      <c r="B131" s="49"/>
      <c r="C131" s="36">
        <v>4</v>
      </c>
      <c r="D131" s="37">
        <f>'Обработка руды'!E105</f>
        <v>0</v>
      </c>
      <c r="E131" s="37">
        <f>$D130*'Коэффициенты (ПС)'!$G$8+Расчет!$D129*'Коэффициенты (ПС)'!$G$9+$D128*'Коэффициенты (ПС)'!$G$10+$D127*'Коэффициенты (ПС)'!$G$11+$D126*'Коэффициенты (ПС)'!$G$12+$D125*'Коэффициенты (ПС)'!$G$13+$D124*'Коэффициенты (ПС)'!$G$14+$D123*'Коэффициенты (ПС)'!$G$15+$D122*'Коэффициенты (ПС)'!$G$16+$D121*'Коэффициенты (ПС)'!$G$17+$D120*'Коэффициенты (ПС)'!$G$18+$D119*'Коэффициенты (ПС)'!$G$19+$D118*'Коэффициенты (ПС)'!$G$20+$D117*'Коэффициенты (ПС)'!$G$21+$D116*'Коэффициенты (ПС)'!$G$22+$D115*'Коэффициенты (ПС)'!$G$23+$D114*'Коэффициенты (ПС)'!$G$24+$D113*'Коэффициенты (ПС)'!$G$25+$D112*'Коэффициенты (ПС)'!$G$26+$D111*'Коэффициенты (ПС)'!$G$27+$D110*'Коэффициенты (ПС)'!$G$28+$D109*'Коэффициенты (ПС)'!$G$29+$D108*'Коэффициенты (ПС)'!$G$30+$D107*'Коэффициенты (ПС)'!$G$31+$D106*'Коэффициенты (ПС)'!$G$32+$D105*'Коэффициенты (ПС)'!$G$33+$D104*'Коэффициенты (ПС)'!$G$34+$D103*'Коэффициенты (ПС)'!$G$35+$D102*'Коэффициенты (ПС)'!$G$36+$D101*'Коэффициенты (ПС)'!$G$37+$D100*'Коэффициенты (ПС)'!$G$38+$D99*'Коэффициенты (ПС)'!$G$39+$D98*'Коэффициенты (ПС)'!$G$40+$D97*'Коэффициенты (ПС)'!$G$41+$D96*'Коэффициенты (ПС)'!$G$42+$D95*'Коэффициенты (ПС)'!$G$43+$D94*'Коэффициенты (ПС)'!$G$44+$D93*'Коэффициенты (ПС)'!$G$45+$D92*'Коэффициенты (ПС)'!$G$46+$D91*'Коэффициенты (ПС)'!$G$47+$D90*'Коэффициенты (ПС)'!$G$48+$D89*'Коэффициенты (ПС)'!$G$49+$D88*'Коэффициенты (ПС)'!$G$50+$D87*'Коэффициенты (ПС)'!$G$51+$D86*'Коэффициенты (ПС)'!$G$52+$D85*'Коэффициенты (ПС)'!$G$53+$D84*'Коэффициенты (ПС)'!$G$54+$D83*'Коэффициенты (ПС)'!$G$55+$D82*'Коэффициенты (ПС)'!$G$56+$D81*'Коэффициенты (ПС)'!$G$57+$D80*'Коэффициенты (ПС)'!$G$58+$D79*'Коэффициенты (ПС)'!$G$59+$D78*'Коэффициенты (ПС)'!$G$60+$D77*'Коэффициенты (ПС)'!$G$61+$D76*'Коэффициенты (ПС)'!$G$62+$D75*'Коэффициенты (ПС)'!$G$63+$D74*'Коэффициенты (ПС)'!$G$64+$D73*'Коэффициенты (ПС)'!$G$65+$D72*'Коэффициенты (ПС)'!$G$66+$D71*'Коэффициенты (ПС)'!$G$67</f>
        <v>2207.7073072232033</v>
      </c>
      <c r="F131" s="37">
        <f>$D130*'Коэффициенты (БЛ)'!$G$7+Расчет!$D129*'Коэффициенты (БЛ)'!$G$8+$D128*'Коэффициенты (БЛ)'!$G$9+$D127*'Коэффициенты (БЛ)'!$G$10+$D126*'Коэффициенты (БЛ)'!$G$11+$D125*'Коэффициенты (БЛ)'!$G$12+$D124*'Коэффициенты (БЛ)'!$G$13+$D123*'Коэффициенты (БЛ)'!$G$14+$D122*'Коэффициенты (БЛ)'!$G$15+$D121*'Коэффициенты (БЛ)'!$G$16+$D120*'Коэффициенты (БЛ)'!$G$17+$D119*'Коэффициенты (БЛ)'!$G$18+$D118*'Коэффициенты (БЛ)'!$G$19+$D117*'Коэффициенты (БЛ)'!$G$20+$D116*'Коэффициенты (БЛ)'!$G$21+$D115*'Коэффициенты (БЛ)'!$G$22+$D114*'Коэффициенты (БЛ)'!$G$23+$D113*'Коэффициенты (БЛ)'!$G$24+$D112*'Коэффициенты (БЛ)'!$G$25+$D111*'Коэффициенты (БЛ)'!$G$26+$D110*'Коэффициенты (БЛ)'!$G$27+$D109*'Коэффициенты (БЛ)'!$G$28+$D108*'Коэффициенты (БЛ)'!$G$29+$D107*'Коэффициенты (БЛ)'!$G$30+$D106*'Коэффициенты (БЛ)'!$G$31+$D105*'Коэффициенты (БЛ)'!$G$32+$D104*'Коэффициенты (БЛ)'!$G$33+$D103*'Коэффициенты (БЛ)'!$G$34+$D102*'Коэффициенты (БЛ)'!$G$35+$D101*'Коэффициенты (БЛ)'!$G$36+$D100*'Коэффициенты (БЛ)'!$G$37+$D99*'Коэффициенты (БЛ)'!$G$38+$D98*'Коэффициенты (БЛ)'!$G$39+$D97*'Коэффициенты (БЛ)'!$G$40+$D96*'Коэффициенты (БЛ)'!$G$41+$D95*'Коэффициенты (БЛ)'!$G$42+$D94*'Коэффициенты (БЛ)'!$G$43+$D93*'Коэффициенты (БЛ)'!$G$44+$D92*'Коэффициенты (БЛ)'!$G$45+$D91*'Коэффициенты (БЛ)'!$G$46+$D90*'Коэффициенты (БЛ)'!$G$47+$D89*'Коэффициенты (БЛ)'!$G$48+$D88*'Коэффициенты (БЛ)'!$G$49+$D87*'Коэффициенты (БЛ)'!$G$50+$D86*'Коэффициенты (БЛ)'!$G$51+$D85*'Коэффициенты (БЛ)'!$G$52+$D84*'Коэффициенты (БЛ)'!$G$53+$D83*'Коэффициенты (БЛ)'!$G$54+$D82*'Коэффициенты (БЛ)'!$G$55+$D81*'Коэффициенты (БЛ)'!$G$56+$D80*'Коэффициенты (БЛ)'!$G$57+$D79*'Коэффициенты (БЛ)'!$G$58+$D78*'Коэффициенты (БЛ)'!$G$59+$D77*'Коэффициенты (БЛ)'!$G$60+$D76*'Коэффициенты (БЛ)'!$G$61+$D75*'Коэффициенты (БЛ)'!$G$62+$D74*'Коэффициенты (БЛ)'!$G$63+$D73*'Коэффициенты (БЛ)'!$G$64+$D72*'Коэффициенты (БЛ)'!$G$65+$D71*'Коэффициенты (БЛ)'!$G$66</f>
        <v>57.778340933892352</v>
      </c>
      <c r="G131" s="43">
        <v>1</v>
      </c>
      <c r="H131" s="43">
        <f t="shared" si="8"/>
        <v>2207.7073072232033</v>
      </c>
      <c r="I131" s="43">
        <f t="shared" si="9"/>
        <v>57.778340933892352</v>
      </c>
    </row>
    <row r="132" spans="2:9" ht="18" customHeight="1" x14ac:dyDescent="0.35">
      <c r="B132" s="49"/>
      <c r="C132" s="36">
        <v>5</v>
      </c>
      <c r="D132" s="37">
        <f>'Обработка руды'!E106</f>
        <v>0</v>
      </c>
      <c r="E132" s="37">
        <f>$D131*'Коэффициенты (ПС)'!$G$8+Расчет!$D130*'Коэффициенты (ПС)'!$G$9+$D129*'Коэффициенты (ПС)'!$G$10+$D128*'Коэффициенты (ПС)'!$G$11+$D127*'Коэффициенты (ПС)'!$G$12+$D126*'Коэффициенты (ПС)'!$G$13+$D125*'Коэффициенты (ПС)'!$G$14+$D124*'Коэффициенты (ПС)'!$G$15+$D123*'Коэффициенты (ПС)'!$G$16+$D122*'Коэффициенты (ПС)'!$G$17+$D121*'Коэффициенты (ПС)'!$G$18+$D120*'Коэффициенты (ПС)'!$G$19+$D119*'Коэффициенты (ПС)'!$G$20+$D118*'Коэффициенты (ПС)'!$G$21+$D117*'Коэффициенты (ПС)'!$G$22+$D116*'Коэффициенты (ПС)'!$G$23+$D115*'Коэффициенты (ПС)'!$G$24+$D114*'Коэффициенты (ПС)'!$G$25+$D113*'Коэффициенты (ПС)'!$G$26+$D112*'Коэффициенты (ПС)'!$G$27+$D111*'Коэффициенты (ПС)'!$G$28+$D110*'Коэффициенты (ПС)'!$G$29+$D109*'Коэффициенты (ПС)'!$G$30+$D108*'Коэффициенты (ПС)'!$G$31+$D107*'Коэффициенты (ПС)'!$G$32+$D106*'Коэффициенты (ПС)'!$G$33+$D105*'Коэффициенты (ПС)'!$G$34+$D104*'Коэффициенты (ПС)'!$G$35+$D103*'Коэффициенты (ПС)'!$G$36+$D102*'Коэффициенты (ПС)'!$G$37+$D101*'Коэффициенты (ПС)'!$G$38+$D100*'Коэффициенты (ПС)'!$G$39+$D99*'Коэффициенты (ПС)'!$G$40+$D98*'Коэффициенты (ПС)'!$G$41+$D97*'Коэффициенты (ПС)'!$G$42+$D96*'Коэффициенты (ПС)'!$G$43+$D95*'Коэффициенты (ПС)'!$G$44+$D94*'Коэффициенты (ПС)'!$G$45+$D93*'Коэффициенты (ПС)'!$G$46+$D92*'Коэффициенты (ПС)'!$G$47+$D91*'Коэффициенты (ПС)'!$G$48+$D90*'Коэффициенты (ПС)'!$G$49+$D89*'Коэффициенты (ПС)'!$G$50+$D88*'Коэффициенты (ПС)'!$G$51+$D87*'Коэффициенты (ПС)'!$G$52+$D86*'Коэффициенты (ПС)'!$G$53+$D85*'Коэффициенты (ПС)'!$G$54+$D84*'Коэффициенты (ПС)'!$G$55+$D83*'Коэффициенты (ПС)'!$G$56+$D82*'Коэффициенты (ПС)'!$G$57+$D81*'Коэффициенты (ПС)'!$G$58+$D80*'Коэффициенты (ПС)'!$G$59+$D79*'Коэффициенты (ПС)'!$G$60+$D78*'Коэффициенты (ПС)'!$G$61+$D77*'Коэффициенты (ПС)'!$G$62+$D76*'Коэффициенты (ПС)'!$G$63+$D75*'Коэффициенты (ПС)'!$G$64+$D74*'Коэффициенты (ПС)'!$G$65+$D73*'Коэффициенты (ПС)'!$G$66+$D72*'Коэффициенты (ПС)'!$G$67</f>
        <v>2113.7653428469162</v>
      </c>
      <c r="F132" s="37">
        <f>$D131*'Коэффициенты (БЛ)'!$G$7+Расчет!$D130*'Коэффициенты (БЛ)'!$G$8+$D129*'Коэффициенты (БЛ)'!$G$9+$D128*'Коэффициенты (БЛ)'!$G$10+$D127*'Коэффициенты (БЛ)'!$G$11+$D126*'Коэффициенты (БЛ)'!$G$12+$D125*'Коэффициенты (БЛ)'!$G$13+$D124*'Коэффициенты (БЛ)'!$G$14+$D123*'Коэффициенты (БЛ)'!$G$15+$D122*'Коэффициенты (БЛ)'!$G$16+$D121*'Коэффициенты (БЛ)'!$G$17+$D120*'Коэффициенты (БЛ)'!$G$18+$D119*'Коэффициенты (БЛ)'!$G$19+$D118*'Коэффициенты (БЛ)'!$G$20+$D117*'Коэффициенты (БЛ)'!$G$21+$D116*'Коэффициенты (БЛ)'!$G$22+$D115*'Коэффициенты (БЛ)'!$G$23+$D114*'Коэффициенты (БЛ)'!$G$24+$D113*'Коэффициенты (БЛ)'!$G$25+$D112*'Коэффициенты (БЛ)'!$G$26+$D111*'Коэффициенты (БЛ)'!$G$27+$D110*'Коэффициенты (БЛ)'!$G$28+$D109*'Коэффициенты (БЛ)'!$G$29+$D108*'Коэффициенты (БЛ)'!$G$30+$D107*'Коэффициенты (БЛ)'!$G$31+$D106*'Коэффициенты (БЛ)'!$G$32+$D105*'Коэффициенты (БЛ)'!$G$33+$D104*'Коэффициенты (БЛ)'!$G$34+$D103*'Коэффициенты (БЛ)'!$G$35+$D102*'Коэффициенты (БЛ)'!$G$36+$D101*'Коэффициенты (БЛ)'!$G$37+$D100*'Коэффициенты (БЛ)'!$G$38+$D99*'Коэффициенты (БЛ)'!$G$39+$D98*'Коэффициенты (БЛ)'!$G$40+$D97*'Коэффициенты (БЛ)'!$G$41+$D96*'Коэффициенты (БЛ)'!$G$42+$D95*'Коэффициенты (БЛ)'!$G$43+$D94*'Коэффициенты (БЛ)'!$G$44+$D93*'Коэффициенты (БЛ)'!$G$45+$D92*'Коэффициенты (БЛ)'!$G$46+$D91*'Коэффициенты (БЛ)'!$G$47+$D90*'Коэффициенты (БЛ)'!$G$48+$D89*'Коэффициенты (БЛ)'!$G$49+$D88*'Коэффициенты (БЛ)'!$G$50+$D87*'Коэффициенты (БЛ)'!$G$51+$D86*'Коэффициенты (БЛ)'!$G$52+$D85*'Коэффициенты (БЛ)'!$G$53+$D84*'Коэффициенты (БЛ)'!$G$54+$D83*'Коэффициенты (БЛ)'!$G$55+$D82*'Коэффициенты (БЛ)'!$G$56+$D81*'Коэффициенты (БЛ)'!$G$57+$D80*'Коэффициенты (БЛ)'!$G$58+$D79*'Коэффициенты (БЛ)'!$G$59+$D78*'Коэффициенты (БЛ)'!$G$60+$D77*'Коэффициенты (БЛ)'!$G$61+$D76*'Коэффициенты (БЛ)'!$G$62+$D75*'Коэффициенты (БЛ)'!$G$63+$D74*'Коэффициенты (БЛ)'!$G$64+$D73*'Коэффициенты (БЛ)'!$G$65+$D72*'Коэффициенты (БЛ)'!$G$66</f>
        <v>55.31976735940902</v>
      </c>
      <c r="G132" s="43">
        <v>1</v>
      </c>
      <c r="H132" s="43">
        <f t="shared" si="8"/>
        <v>2113.7653428469162</v>
      </c>
      <c r="I132" s="43">
        <f t="shared" si="9"/>
        <v>55.31976735940902</v>
      </c>
    </row>
    <row r="133" spans="2:9" ht="18" customHeight="1" x14ac:dyDescent="0.35">
      <c r="B133" s="49"/>
      <c r="C133" s="36">
        <v>6</v>
      </c>
      <c r="D133" s="37">
        <f>'Обработка руды'!E107</f>
        <v>0</v>
      </c>
      <c r="E133" s="37">
        <f>$D132*'Коэффициенты (ПС)'!$G$8+Расчет!$D131*'Коэффициенты (ПС)'!$G$9+$D130*'Коэффициенты (ПС)'!$G$10+$D129*'Коэффициенты (ПС)'!$G$11+$D128*'Коэффициенты (ПС)'!$G$12+$D127*'Коэффициенты (ПС)'!$G$13+$D126*'Коэффициенты (ПС)'!$G$14+$D125*'Коэффициенты (ПС)'!$G$15+$D124*'Коэффициенты (ПС)'!$G$16+$D123*'Коэффициенты (ПС)'!$G$17+$D122*'Коэффициенты (ПС)'!$G$18+$D121*'Коэффициенты (ПС)'!$G$19+$D120*'Коэффициенты (ПС)'!$G$20+$D119*'Коэффициенты (ПС)'!$G$21+$D118*'Коэффициенты (ПС)'!$G$22+$D117*'Коэффициенты (ПС)'!$G$23+$D116*'Коэффициенты (ПС)'!$G$24+$D115*'Коэффициенты (ПС)'!$G$25+$D114*'Коэффициенты (ПС)'!$G$26+$D113*'Коэффициенты (ПС)'!$G$27+$D112*'Коэффициенты (ПС)'!$G$28+$D111*'Коэффициенты (ПС)'!$G$29+$D110*'Коэффициенты (ПС)'!$G$30+$D109*'Коэффициенты (ПС)'!$G$31+$D108*'Коэффициенты (ПС)'!$G$32+$D107*'Коэффициенты (ПС)'!$G$33+$D106*'Коэффициенты (ПС)'!$G$34+$D105*'Коэффициенты (ПС)'!$G$35+$D104*'Коэффициенты (ПС)'!$G$36+$D103*'Коэффициенты (ПС)'!$G$37+$D102*'Коэффициенты (ПС)'!$G$38+$D101*'Коэффициенты (ПС)'!$G$39+$D100*'Коэффициенты (ПС)'!$G$40+$D99*'Коэффициенты (ПС)'!$G$41+$D98*'Коэффициенты (ПС)'!$G$42+$D97*'Коэффициенты (ПС)'!$G$43+$D96*'Коэффициенты (ПС)'!$G$44+$D95*'Коэффициенты (ПС)'!$G$45+$D94*'Коэффициенты (ПС)'!$G$46+$D93*'Коэффициенты (ПС)'!$G$47+$D92*'Коэффициенты (ПС)'!$G$48+$D91*'Коэффициенты (ПС)'!$G$49+$D90*'Коэффициенты (ПС)'!$G$50+$D89*'Коэффициенты (ПС)'!$G$51+$D88*'Коэффициенты (ПС)'!$G$52+$D87*'Коэффициенты (ПС)'!$G$53+$D86*'Коэффициенты (ПС)'!$G$54+$D85*'Коэффициенты (ПС)'!$G$55+$D84*'Коэффициенты (ПС)'!$G$56+$D83*'Коэффициенты (ПС)'!$G$57+$D82*'Коэффициенты (ПС)'!$G$58+$D81*'Коэффициенты (ПС)'!$G$59+$D80*'Коэффициенты (ПС)'!$G$60+$D79*'Коэффициенты (ПС)'!$G$61+$D78*'Коэффициенты (ПС)'!$G$62+$D77*'Коэффициенты (ПС)'!$G$63+$D76*'Коэффициенты (ПС)'!$G$64+$D75*'Коэффициенты (ПС)'!$G$65+$D74*'Коэффициенты (ПС)'!$G$66+$D73*'Коэффициенты (ПС)'!$G$67</f>
        <v>1962.2311864113603</v>
      </c>
      <c r="F133" s="37">
        <f>$D132*'Коэффициенты (БЛ)'!$G$7+Расчет!$D131*'Коэффициенты (БЛ)'!$G$8+$D130*'Коэффициенты (БЛ)'!$G$9+$D129*'Коэффициенты (БЛ)'!$G$10+$D128*'Коэффициенты (БЛ)'!$G$11+$D127*'Коэффициенты (БЛ)'!$G$12+$D126*'Коэффициенты (БЛ)'!$G$13+$D125*'Коэффициенты (БЛ)'!$G$14+$D124*'Коэффициенты (БЛ)'!$G$15+$D123*'Коэффициенты (БЛ)'!$G$16+$D122*'Коэффициенты (БЛ)'!$G$17+$D121*'Коэффициенты (БЛ)'!$G$18+$D120*'Коэффициенты (БЛ)'!$G$19+$D119*'Коэффициенты (БЛ)'!$G$20+$D118*'Коэффициенты (БЛ)'!$G$21+$D117*'Коэффициенты (БЛ)'!$G$22+$D116*'Коэффициенты (БЛ)'!$G$23+$D115*'Коэффициенты (БЛ)'!$G$24+$D114*'Коэффициенты (БЛ)'!$G$25+$D113*'Коэффициенты (БЛ)'!$G$26+$D112*'Коэффициенты (БЛ)'!$G$27+$D111*'Коэффициенты (БЛ)'!$G$28+$D110*'Коэффициенты (БЛ)'!$G$29+$D109*'Коэффициенты (БЛ)'!$G$30+$D108*'Коэффициенты (БЛ)'!$G$31+$D107*'Коэффициенты (БЛ)'!$G$32+$D106*'Коэффициенты (БЛ)'!$G$33+$D105*'Коэффициенты (БЛ)'!$G$34+$D104*'Коэффициенты (БЛ)'!$G$35+$D103*'Коэффициенты (БЛ)'!$G$36+$D102*'Коэффициенты (БЛ)'!$G$37+$D101*'Коэффициенты (БЛ)'!$G$38+$D100*'Коэффициенты (БЛ)'!$G$39+$D99*'Коэффициенты (БЛ)'!$G$40+$D98*'Коэффициенты (БЛ)'!$G$41+$D97*'Коэффициенты (БЛ)'!$G$42+$D96*'Коэффициенты (БЛ)'!$G$43+$D95*'Коэффициенты (БЛ)'!$G$44+$D94*'Коэффициенты (БЛ)'!$G$45+$D93*'Коэффициенты (БЛ)'!$G$46+$D92*'Коэффициенты (БЛ)'!$G$47+$D91*'Коэффициенты (БЛ)'!$G$48+$D90*'Коэффициенты (БЛ)'!$G$49+$D89*'Коэффициенты (БЛ)'!$G$50+$D88*'Коэффициенты (БЛ)'!$G$51+$D87*'Коэффициенты (БЛ)'!$G$52+$D86*'Коэффициенты (БЛ)'!$G$53+$D85*'Коэффициенты (БЛ)'!$G$54+$D84*'Коэффициенты (БЛ)'!$G$55+$D83*'Коэффициенты (БЛ)'!$G$56+$D82*'Коэффициенты (БЛ)'!$G$57+$D81*'Коэффициенты (БЛ)'!$G$58+$D80*'Коэффициенты (БЛ)'!$G$59+$D79*'Коэффициенты (БЛ)'!$G$60+$D78*'Коэффициенты (БЛ)'!$G$61+$D77*'Коэффициенты (БЛ)'!$G$62+$D76*'Коэффициенты (БЛ)'!$G$63+$D75*'Коэффициенты (БЛ)'!$G$64+$D74*'Коэффициенты (БЛ)'!$G$65+$D73*'Коэффициенты (БЛ)'!$G$66</f>
        <v>51.35393723101425</v>
      </c>
      <c r="G133" s="43">
        <v>1</v>
      </c>
      <c r="H133" s="43">
        <f t="shared" si="8"/>
        <v>1962.2311864113603</v>
      </c>
      <c r="I133" s="43">
        <f t="shared" si="9"/>
        <v>51.35393723101425</v>
      </c>
    </row>
    <row r="134" spans="2:9" ht="18" customHeight="1" x14ac:dyDescent="0.35">
      <c r="B134" s="49"/>
      <c r="C134" s="36">
        <v>7</v>
      </c>
      <c r="D134" s="37">
        <f>'Обработка руды'!E108</f>
        <v>0</v>
      </c>
      <c r="E134" s="37">
        <f>$D133*'Коэффициенты (ПС)'!$G$8+Расчет!$D132*'Коэффициенты (ПС)'!$G$9+$D131*'Коэффициенты (ПС)'!$G$10+$D130*'Коэффициенты (ПС)'!$G$11+$D129*'Коэффициенты (ПС)'!$G$12+$D128*'Коэффициенты (ПС)'!$G$13+$D127*'Коэффициенты (ПС)'!$G$14+$D126*'Коэффициенты (ПС)'!$G$15+$D125*'Коэффициенты (ПС)'!$G$16+$D124*'Коэффициенты (ПС)'!$G$17+$D123*'Коэффициенты (ПС)'!$G$18+$D122*'Коэффициенты (ПС)'!$G$19+$D121*'Коэффициенты (ПС)'!$G$20+$D120*'Коэффициенты (ПС)'!$G$21+$D119*'Коэффициенты (ПС)'!$G$22+$D118*'Коэффициенты (ПС)'!$G$23+$D117*'Коэффициенты (ПС)'!$G$24+$D116*'Коэффициенты (ПС)'!$G$25+$D115*'Коэффициенты (ПС)'!$G$26+$D114*'Коэффициенты (ПС)'!$G$27+$D113*'Коэффициенты (ПС)'!$G$28+$D112*'Коэффициенты (ПС)'!$G$29+$D111*'Коэффициенты (ПС)'!$G$30+$D110*'Коэффициенты (ПС)'!$G$31+$D109*'Коэффициенты (ПС)'!$G$32+$D108*'Коэффициенты (ПС)'!$G$33+$D107*'Коэффициенты (ПС)'!$G$34+$D106*'Коэффициенты (ПС)'!$G$35+$D105*'Коэффициенты (ПС)'!$G$36+$D104*'Коэффициенты (ПС)'!$G$37+$D103*'Коэффициенты (ПС)'!$G$38+$D102*'Коэффициенты (ПС)'!$G$39+$D101*'Коэффициенты (ПС)'!$G$40+$D100*'Коэффициенты (ПС)'!$G$41+$D99*'Коэффициенты (ПС)'!$G$42+$D98*'Коэффициенты (ПС)'!$G$43+$D97*'Коэффициенты (ПС)'!$G$44+$D96*'Коэффициенты (ПС)'!$G$45+$D95*'Коэффициенты (ПС)'!$G$46+$D94*'Коэффициенты (ПС)'!$G$47+$D93*'Коэффициенты (ПС)'!$G$48+$D92*'Коэффициенты (ПС)'!$G$49+$D91*'Коэффициенты (ПС)'!$G$50+$D90*'Коэффициенты (ПС)'!$G$51+$D89*'Коэффициенты (ПС)'!$G$52+$D88*'Коэффициенты (ПС)'!$G$53+$D87*'Коэффициенты (ПС)'!$G$54+$D86*'Коэффициенты (ПС)'!$G$55+$D85*'Коэффициенты (ПС)'!$G$56+$D84*'Коэффициенты (ПС)'!$G$57+$D83*'Коэффициенты (ПС)'!$G$58+$D82*'Коэффициенты (ПС)'!$G$59+$D81*'Коэффициенты (ПС)'!$G$60+$D80*'Коэффициенты (ПС)'!$G$61+$D79*'Коэффициенты (ПС)'!$G$62+$D78*'Коэффициенты (ПС)'!$G$63+$D77*'Коэффициенты (ПС)'!$G$64+$D76*'Коэффициенты (ПС)'!$G$65+$D75*'Коэффициенты (ПС)'!$G$66+$D74*'Коэффициенты (ПС)'!$G$67</f>
        <v>1921.5035300190336</v>
      </c>
      <c r="F134" s="37">
        <f>$D133*'Коэффициенты (БЛ)'!$G$7+Расчет!$D132*'Коэффициенты (БЛ)'!$G$8+$D131*'Коэффициенты (БЛ)'!$G$9+$D130*'Коэффициенты (БЛ)'!$G$10+$D129*'Коэффициенты (БЛ)'!$G$11+$D128*'Коэффициенты (БЛ)'!$G$12+$D127*'Коэффициенты (БЛ)'!$G$13+$D126*'Коэффициенты (БЛ)'!$G$14+$D125*'Коэффициенты (БЛ)'!$G$15+$D124*'Коэффициенты (БЛ)'!$G$16+$D123*'Коэффициенты (БЛ)'!$G$17+$D122*'Коэффициенты (БЛ)'!$G$18+$D121*'Коэффициенты (БЛ)'!$G$19+$D120*'Коэффициенты (БЛ)'!$G$20+$D119*'Коэффициенты (БЛ)'!$G$21+$D118*'Коэффициенты (БЛ)'!$G$22+$D117*'Коэффициенты (БЛ)'!$G$23+$D116*'Коэффициенты (БЛ)'!$G$24+$D115*'Коэффициенты (БЛ)'!$G$25+$D114*'Коэффициенты (БЛ)'!$G$26+$D113*'Коэффициенты (БЛ)'!$G$27+$D112*'Коэффициенты (БЛ)'!$G$28+$D111*'Коэффициенты (БЛ)'!$G$29+$D110*'Коэффициенты (БЛ)'!$G$30+$D109*'Коэффициенты (БЛ)'!$G$31+$D108*'Коэффициенты (БЛ)'!$G$32+$D107*'Коэффициенты (БЛ)'!$G$33+$D106*'Коэффициенты (БЛ)'!$G$34+$D105*'Коэффициенты (БЛ)'!$G$35+$D104*'Коэффициенты (БЛ)'!$G$36+$D103*'Коэффициенты (БЛ)'!$G$37+$D102*'Коэффициенты (БЛ)'!$G$38+$D101*'Коэффициенты (БЛ)'!$G$39+$D100*'Коэффициенты (БЛ)'!$G$40+$D99*'Коэффициенты (БЛ)'!$G$41+$D98*'Коэффициенты (БЛ)'!$G$42+$D97*'Коэффициенты (БЛ)'!$G$43+$D96*'Коэффициенты (БЛ)'!$G$44+$D95*'Коэффициенты (БЛ)'!$G$45+$D94*'Коэффициенты (БЛ)'!$G$46+$D93*'Коэффициенты (БЛ)'!$G$47+$D92*'Коэффициенты (БЛ)'!$G$48+$D91*'Коэффициенты (БЛ)'!$G$49+$D90*'Коэффициенты (БЛ)'!$G$50+$D89*'Коэффициенты (БЛ)'!$G$51+$D88*'Коэффициенты (БЛ)'!$G$52+$D87*'Коэффициенты (БЛ)'!$G$53+$D86*'Коэффициенты (БЛ)'!$G$54+$D85*'Коэффициенты (БЛ)'!$G$55+$D84*'Коэффициенты (БЛ)'!$G$56+$D83*'Коэффициенты (БЛ)'!$G$57+$D82*'Коэффициенты (БЛ)'!$G$58+$D81*'Коэффициенты (БЛ)'!$G$59+$D80*'Коэффициенты (БЛ)'!$G$60+$D79*'Коэффициенты (БЛ)'!$G$61+$D78*'Коэффициенты (БЛ)'!$G$62+$D77*'Коэффициенты (БЛ)'!$G$63+$D76*'Коэффициенты (БЛ)'!$G$64+$D75*'Коэффициенты (БЛ)'!$G$65+$D74*'Коэффициенты (БЛ)'!$G$66</f>
        <v>50.288045747675227</v>
      </c>
      <c r="G134" s="43">
        <v>1</v>
      </c>
      <c r="H134" s="43">
        <f t="shared" si="8"/>
        <v>1921.5035300190336</v>
      </c>
      <c r="I134" s="43">
        <f t="shared" si="9"/>
        <v>50.288045747675227</v>
      </c>
    </row>
    <row r="135" spans="2:9" ht="18" customHeight="1" x14ac:dyDescent="0.35">
      <c r="B135" s="49"/>
      <c r="C135" s="36">
        <v>8</v>
      </c>
      <c r="D135" s="37">
        <f>'Обработка руды'!E109</f>
        <v>0</v>
      </c>
      <c r="E135" s="37">
        <f>$D134*'Коэффициенты (ПС)'!$G$8+Расчет!$D133*'Коэффициенты (ПС)'!$G$9+$D132*'Коэффициенты (ПС)'!$G$10+$D131*'Коэффициенты (ПС)'!$G$11+$D130*'Коэффициенты (ПС)'!$G$12+$D129*'Коэффициенты (ПС)'!$G$13+$D128*'Коэффициенты (ПС)'!$G$14+$D127*'Коэффициенты (ПС)'!$G$15+$D126*'Коэффициенты (ПС)'!$G$16+$D125*'Коэффициенты (ПС)'!$G$17+$D124*'Коэффициенты (ПС)'!$G$18+$D123*'Коэффициенты (ПС)'!$G$19+$D122*'Коэффициенты (ПС)'!$G$20+$D121*'Коэффициенты (ПС)'!$G$21+$D120*'Коэффициенты (ПС)'!$G$22+$D119*'Коэффициенты (ПС)'!$G$23+$D118*'Коэффициенты (ПС)'!$G$24+$D117*'Коэффициенты (ПС)'!$G$25+$D116*'Коэффициенты (ПС)'!$G$26+$D115*'Коэффициенты (ПС)'!$G$27+$D114*'Коэффициенты (ПС)'!$G$28+$D113*'Коэффициенты (ПС)'!$G$29+$D112*'Коэффициенты (ПС)'!$G$30+$D111*'Коэффициенты (ПС)'!$G$31+$D110*'Коэффициенты (ПС)'!$G$32+$D109*'Коэффициенты (ПС)'!$G$33+$D108*'Коэффициенты (ПС)'!$G$34+$D107*'Коэффициенты (ПС)'!$G$35+$D106*'Коэффициенты (ПС)'!$G$36+$D105*'Коэффициенты (ПС)'!$G$37+$D104*'Коэффициенты (ПС)'!$G$38+$D103*'Коэффициенты (ПС)'!$G$39+$D102*'Коэффициенты (ПС)'!$G$40+$D101*'Коэффициенты (ПС)'!$G$41+$D100*'Коэффициенты (ПС)'!$G$42+$D99*'Коэффициенты (ПС)'!$G$43+$D98*'Коэффициенты (ПС)'!$G$44+$D97*'Коэффициенты (ПС)'!$G$45+$D96*'Коэффициенты (ПС)'!$G$46+$D95*'Коэффициенты (ПС)'!$G$47+$D94*'Коэффициенты (ПС)'!$G$48+$D93*'Коэффициенты (ПС)'!$G$49+$D92*'Коэффициенты (ПС)'!$G$50+$D91*'Коэффициенты (ПС)'!$G$51+$D90*'Коэффициенты (ПС)'!$G$52+$D89*'Коэффициенты (ПС)'!$G$53+$D88*'Коэффициенты (ПС)'!$G$54+$D87*'Коэффициенты (ПС)'!$G$55+$D86*'Коэффициенты (ПС)'!$G$56+$D85*'Коэффициенты (ПС)'!$G$57+$D84*'Коэффициенты (ПС)'!$G$58+$D83*'Коэффициенты (ПС)'!$G$59+$D82*'Коэффициенты (ПС)'!$G$60+$D81*'Коэффициенты (ПС)'!$G$61+$D80*'Коэффициенты (ПС)'!$G$62+$D79*'Коэффициенты (ПС)'!$G$63+$D78*'Коэффициенты (ПС)'!$G$64+$D77*'Коэффициенты (ПС)'!$G$65+$D76*'Коэффициенты (ПС)'!$G$66+$D75*'Коэффициенты (ПС)'!$G$67</f>
        <v>1819.3987109566608</v>
      </c>
      <c r="F135" s="37">
        <f>$D134*'Коэффициенты (БЛ)'!$G$7+Расчет!$D133*'Коэффициенты (БЛ)'!$G$8+$D132*'Коэффициенты (БЛ)'!$G$9+$D131*'Коэффициенты (БЛ)'!$G$10+$D130*'Коэффициенты (БЛ)'!$G$11+$D129*'Коэффициенты (БЛ)'!$G$12+$D128*'Коэффициенты (БЛ)'!$G$13+$D127*'Коэффициенты (БЛ)'!$G$14+$D126*'Коэффициенты (БЛ)'!$G$15+$D125*'Коэффициенты (БЛ)'!$G$16+$D124*'Коэффициенты (БЛ)'!$G$17+$D123*'Коэффициенты (БЛ)'!$G$18+$D122*'Коэффициенты (БЛ)'!$G$19+$D121*'Коэффициенты (БЛ)'!$G$20+$D120*'Коэффициенты (БЛ)'!$G$21+$D119*'Коэффициенты (БЛ)'!$G$22+$D118*'Коэффициенты (БЛ)'!$G$23+$D117*'Коэффициенты (БЛ)'!$G$24+$D116*'Коэффициенты (БЛ)'!$G$25+$D115*'Коэффициенты (БЛ)'!$G$26+$D114*'Коэффициенты (БЛ)'!$G$27+$D113*'Коэффициенты (БЛ)'!$G$28+$D112*'Коэффициенты (БЛ)'!$G$29+$D111*'Коэффициенты (БЛ)'!$G$30+$D110*'Коэффициенты (БЛ)'!$G$31+$D109*'Коэффициенты (БЛ)'!$G$32+$D108*'Коэффициенты (БЛ)'!$G$33+$D107*'Коэффициенты (БЛ)'!$G$34+$D106*'Коэффициенты (БЛ)'!$G$35+$D105*'Коэффициенты (БЛ)'!$G$36+$D104*'Коэффициенты (БЛ)'!$G$37+$D103*'Коэффициенты (БЛ)'!$G$38+$D102*'Коэффициенты (БЛ)'!$G$39+$D101*'Коэффициенты (БЛ)'!$G$40+$D100*'Коэффициенты (БЛ)'!$G$41+$D99*'Коэффициенты (БЛ)'!$G$42+$D98*'Коэффициенты (БЛ)'!$G$43+$D97*'Коэффициенты (БЛ)'!$G$44+$D96*'Коэффициенты (БЛ)'!$G$45+$D95*'Коэффициенты (БЛ)'!$G$46+$D94*'Коэффициенты (БЛ)'!$G$47+$D93*'Коэффициенты (БЛ)'!$G$48+$D92*'Коэффициенты (БЛ)'!$G$49+$D91*'Коэффициенты (БЛ)'!$G$50+$D90*'Коэффициенты (БЛ)'!$G$51+$D89*'Коэффициенты (БЛ)'!$G$52+$D88*'Коэффициенты (БЛ)'!$G$53+$D87*'Коэффициенты (БЛ)'!$G$54+$D86*'Коэффициенты (БЛ)'!$G$55+$D85*'Коэффициенты (БЛ)'!$G$56+$D84*'Коэффициенты (БЛ)'!$G$57+$D83*'Коэффициенты (БЛ)'!$G$58+$D82*'Коэффициенты (БЛ)'!$G$59+$D81*'Коэффициенты (БЛ)'!$G$60+$D80*'Коэффициенты (БЛ)'!$G$61+$D79*'Коэффициенты (БЛ)'!$G$62+$D78*'Коэффициенты (БЛ)'!$G$63+$D77*'Коэффициенты (БЛ)'!$G$64+$D76*'Коэффициенты (БЛ)'!$G$65+$D75*'Коэффициенты (БЛ)'!$G$66</f>
        <v>47.615840502225723</v>
      </c>
      <c r="G135" s="43">
        <v>1</v>
      </c>
      <c r="H135" s="43">
        <f t="shared" si="8"/>
        <v>1819.3987109566608</v>
      </c>
      <c r="I135" s="43">
        <f t="shared" si="9"/>
        <v>47.615840502225723</v>
      </c>
    </row>
    <row r="136" spans="2:9" ht="18" customHeight="1" x14ac:dyDescent="0.35">
      <c r="B136" s="49"/>
      <c r="C136" s="36">
        <v>9</v>
      </c>
      <c r="D136" s="37">
        <f>'Обработка руды'!E110</f>
        <v>0</v>
      </c>
      <c r="E136" s="37">
        <f>$D135*'Коэффициенты (ПС)'!$G$8+Расчет!$D134*'Коэффициенты (ПС)'!$G$9+$D133*'Коэффициенты (ПС)'!$G$10+$D132*'Коэффициенты (ПС)'!$G$11+$D131*'Коэффициенты (ПС)'!$G$12+$D130*'Коэффициенты (ПС)'!$G$13+$D129*'Коэффициенты (ПС)'!$G$14+$D128*'Коэффициенты (ПС)'!$G$15+$D127*'Коэффициенты (ПС)'!$G$16+$D126*'Коэффициенты (ПС)'!$G$17+$D125*'Коэффициенты (ПС)'!$G$18+$D124*'Коэффициенты (ПС)'!$G$19+$D123*'Коэффициенты (ПС)'!$G$20+$D122*'Коэффициенты (ПС)'!$G$21+$D121*'Коэффициенты (ПС)'!$G$22+$D120*'Коэффициенты (ПС)'!$G$23+$D119*'Коэффициенты (ПС)'!$G$24+$D118*'Коэффициенты (ПС)'!$G$25+$D117*'Коэффициенты (ПС)'!$G$26+$D116*'Коэффициенты (ПС)'!$G$27+$D115*'Коэффициенты (ПС)'!$G$28+$D114*'Коэффициенты (ПС)'!$G$29+$D113*'Коэффициенты (ПС)'!$G$30+$D112*'Коэффициенты (ПС)'!$G$31+$D111*'Коэффициенты (ПС)'!$G$32+$D110*'Коэффициенты (ПС)'!$G$33+$D109*'Коэффициенты (ПС)'!$G$34+$D108*'Коэффициенты (ПС)'!$G$35+$D107*'Коэффициенты (ПС)'!$G$36+$D106*'Коэффициенты (ПС)'!$G$37+$D105*'Коэффициенты (ПС)'!$G$38+$D104*'Коэффициенты (ПС)'!$G$39+$D103*'Коэффициенты (ПС)'!$G$40+$D102*'Коэффициенты (ПС)'!$G$41+$D101*'Коэффициенты (ПС)'!$G$42+$D100*'Коэффициенты (ПС)'!$G$43+$D99*'Коэффициенты (ПС)'!$G$44+$D98*'Коэффициенты (ПС)'!$G$45+$D97*'Коэффициенты (ПС)'!$G$46+$D96*'Коэффициенты (ПС)'!$G$47+$D95*'Коэффициенты (ПС)'!$G$48+$D94*'Коэффициенты (ПС)'!$G$49+$D93*'Коэффициенты (ПС)'!$G$50+$D92*'Коэффициенты (ПС)'!$G$51+$D91*'Коэффициенты (ПС)'!$G$52+$D90*'Коэффициенты (ПС)'!$G$53+$D89*'Коэффициенты (ПС)'!$G$54+$D88*'Коэффициенты (ПС)'!$G$55+$D87*'Коэффициенты (ПС)'!$G$56+$D86*'Коэффициенты (ПС)'!$G$57+$D85*'Коэффициенты (ПС)'!$G$58+$D84*'Коэффициенты (ПС)'!$G$59+$D83*'Коэффициенты (ПС)'!$G$60+$D82*'Коэффициенты (ПС)'!$G$61+$D81*'Коэффициенты (ПС)'!$G$62+$D80*'Коэффициенты (ПС)'!$G$63+$D79*'Коэффициенты (ПС)'!$G$64+$D78*'Коэффициенты (ПС)'!$G$65+$D77*'Коэффициенты (ПС)'!$G$66+$D76*'Коэффициенты (ПС)'!$G$67</f>
        <v>1758.1773461408995</v>
      </c>
      <c r="F136" s="37">
        <f>$D135*'Коэффициенты (БЛ)'!$G$7+Расчет!$D134*'Коэффициенты (БЛ)'!$G$8+$D133*'Коэффициенты (БЛ)'!$G$9+$D132*'Коэффициенты (БЛ)'!$G$10+$D131*'Коэффициенты (БЛ)'!$G$11+$D130*'Коэффициенты (БЛ)'!$G$12+$D129*'Коэффициенты (БЛ)'!$G$13+$D128*'Коэффициенты (БЛ)'!$G$14+$D127*'Коэффициенты (БЛ)'!$G$15+$D126*'Коэффициенты (БЛ)'!$G$16+$D125*'Коэффициенты (БЛ)'!$G$17+$D124*'Коэффициенты (БЛ)'!$G$18+$D123*'Коэффициенты (БЛ)'!$G$19+$D122*'Коэффициенты (БЛ)'!$G$20+$D121*'Коэффициенты (БЛ)'!$G$21+$D120*'Коэффициенты (БЛ)'!$G$22+$D119*'Коэффициенты (БЛ)'!$G$23+$D118*'Коэффициенты (БЛ)'!$G$24+$D117*'Коэффициенты (БЛ)'!$G$25+$D116*'Коэффициенты (БЛ)'!$G$26+$D115*'Коэффициенты (БЛ)'!$G$27+$D114*'Коэффициенты (БЛ)'!$G$28+$D113*'Коэффициенты (БЛ)'!$G$29+$D112*'Коэффициенты (БЛ)'!$G$30+$D111*'Коэффициенты (БЛ)'!$G$31+$D110*'Коэффициенты (БЛ)'!$G$32+$D109*'Коэффициенты (БЛ)'!$G$33+$D108*'Коэффициенты (БЛ)'!$G$34+$D107*'Коэффициенты (БЛ)'!$G$35+$D106*'Коэффициенты (БЛ)'!$G$36+$D105*'Коэффициенты (БЛ)'!$G$37+$D104*'Коэффициенты (БЛ)'!$G$38+$D103*'Коэффициенты (БЛ)'!$G$39+$D102*'Коэффициенты (БЛ)'!$G$40+$D101*'Коэффициенты (БЛ)'!$G$41+$D100*'Коэффициенты (БЛ)'!$G$42+$D99*'Коэффициенты (БЛ)'!$G$43+$D98*'Коэффициенты (БЛ)'!$G$44+$D97*'Коэффициенты (БЛ)'!$G$45+$D96*'Коэффициенты (БЛ)'!$G$46+$D95*'Коэффициенты (БЛ)'!$G$47+$D94*'Коэффициенты (БЛ)'!$G$48+$D93*'Коэффициенты (БЛ)'!$G$49+$D92*'Коэффициенты (БЛ)'!$G$50+$D91*'Коэффициенты (БЛ)'!$G$51+$D90*'Коэффициенты (БЛ)'!$G$52+$D89*'Коэффициенты (БЛ)'!$G$53+$D88*'Коэффициенты (БЛ)'!$G$54+$D87*'Коэффициенты (БЛ)'!$G$55+$D86*'Коэффициенты (БЛ)'!$G$56+$D85*'Коэффициенты (БЛ)'!$G$57+$D84*'Коэффициенты (БЛ)'!$G$58+$D83*'Коэффициенты (БЛ)'!$G$59+$D82*'Коэффициенты (БЛ)'!$G$60+$D81*'Коэффициенты (БЛ)'!$G$61+$D80*'Коэффициенты (БЛ)'!$G$62+$D79*'Коэффициенты (БЛ)'!$G$63+$D78*'Коэффициенты (БЛ)'!$G$64+$D77*'Коэффициенты (БЛ)'!$G$65+$D76*'Коэффициенты (БЛ)'!$G$66</f>
        <v>46.013604156316056</v>
      </c>
      <c r="G136" s="43">
        <v>1</v>
      </c>
      <c r="H136" s="43">
        <f t="shared" si="8"/>
        <v>1758.1773461408995</v>
      </c>
      <c r="I136" s="43">
        <f t="shared" si="9"/>
        <v>46.013604156316056</v>
      </c>
    </row>
    <row r="137" spans="2:9" ht="18" customHeight="1" x14ac:dyDescent="0.35">
      <c r="B137" s="49"/>
      <c r="C137" s="36">
        <v>10</v>
      </c>
      <c r="D137" s="37">
        <f>'Обработка руды'!E111</f>
        <v>0</v>
      </c>
      <c r="E137" s="37">
        <f>$D136*'Коэффициенты (ПС)'!$G$8+Расчет!$D135*'Коэффициенты (ПС)'!$G$9+$D134*'Коэффициенты (ПС)'!$G$10+$D133*'Коэффициенты (ПС)'!$G$11+$D132*'Коэффициенты (ПС)'!$G$12+$D131*'Коэффициенты (ПС)'!$G$13+$D130*'Коэффициенты (ПС)'!$G$14+$D129*'Коэффициенты (ПС)'!$G$15+$D128*'Коэффициенты (ПС)'!$G$16+$D127*'Коэффициенты (ПС)'!$G$17+$D126*'Коэффициенты (ПС)'!$G$18+$D125*'Коэффициенты (ПС)'!$G$19+$D124*'Коэффициенты (ПС)'!$G$20+$D123*'Коэффициенты (ПС)'!$G$21+$D122*'Коэффициенты (ПС)'!$G$22+$D121*'Коэффициенты (ПС)'!$G$23+$D120*'Коэффициенты (ПС)'!$G$24+$D119*'Коэффициенты (ПС)'!$G$25+$D118*'Коэффициенты (ПС)'!$G$26+$D117*'Коэффициенты (ПС)'!$G$27+$D116*'Коэффициенты (ПС)'!$G$28+$D115*'Коэффициенты (ПС)'!$G$29+$D114*'Коэффициенты (ПС)'!$G$30+$D113*'Коэффициенты (ПС)'!$G$31+$D112*'Коэффициенты (ПС)'!$G$32+$D111*'Коэффициенты (ПС)'!$G$33+$D110*'Коэффициенты (ПС)'!$G$34+$D109*'Коэффициенты (ПС)'!$G$35+$D108*'Коэффициенты (ПС)'!$G$36+$D107*'Коэффициенты (ПС)'!$G$37+$D106*'Коэффициенты (ПС)'!$G$38+$D105*'Коэффициенты (ПС)'!$G$39+$D104*'Коэффициенты (ПС)'!$G$40+$D103*'Коэффициенты (ПС)'!$G$41+$D102*'Коэффициенты (ПС)'!$G$42+$D101*'Коэффициенты (ПС)'!$G$43+$D100*'Коэффициенты (ПС)'!$G$44+$D99*'Коэффициенты (ПС)'!$G$45+$D98*'Коэффициенты (ПС)'!$G$46+$D97*'Коэффициенты (ПС)'!$G$47+$D96*'Коэффициенты (ПС)'!$G$48+$D95*'Коэффициенты (ПС)'!$G$49+$D94*'Коэффициенты (ПС)'!$G$50+$D93*'Коэффициенты (ПС)'!$G$51+$D92*'Коэффициенты (ПС)'!$G$52+$D91*'Коэффициенты (ПС)'!$G$53+$D90*'Коэффициенты (ПС)'!$G$54+$D89*'Коэффициенты (ПС)'!$G$55+$D88*'Коэффициенты (ПС)'!$G$56+$D87*'Коэффициенты (ПС)'!$G$57+$D86*'Коэффициенты (ПС)'!$G$58+$D85*'Коэффициенты (ПС)'!$G$59+$D84*'Коэффициенты (ПС)'!$G$60+$D83*'Коэффициенты (ПС)'!$G$61+$D82*'Коэффициенты (ПС)'!$G$62+$D81*'Коэффициенты (ПС)'!$G$63+$D80*'Коэффициенты (ПС)'!$G$64+$D79*'Коэффициенты (ПС)'!$G$65+$D78*'Коэффициенты (ПС)'!$G$66+$D77*'Коэффициенты (ПС)'!$G$67</f>
        <v>1721.0354103945754</v>
      </c>
      <c r="F137" s="37">
        <f>$D136*'Коэффициенты (БЛ)'!$G$7+Расчет!$D135*'Коэффициенты (БЛ)'!$G$8+$D134*'Коэффициенты (БЛ)'!$G$9+$D133*'Коэффициенты (БЛ)'!$G$10+$D132*'Коэффициенты (БЛ)'!$G$11+$D131*'Коэффициенты (БЛ)'!$G$12+$D130*'Коэффициенты (БЛ)'!$G$13+$D129*'Коэффициенты (БЛ)'!$G$14+$D128*'Коэффициенты (БЛ)'!$G$15+$D127*'Коэффициенты (БЛ)'!$G$16+$D126*'Коэффициенты (БЛ)'!$G$17+$D125*'Коэффициенты (БЛ)'!$G$18+$D124*'Коэффициенты (БЛ)'!$G$19+$D123*'Коэффициенты (БЛ)'!$G$20+$D122*'Коэффициенты (БЛ)'!$G$21+$D121*'Коэффициенты (БЛ)'!$G$22+$D120*'Коэффициенты (БЛ)'!$G$23+$D119*'Коэффициенты (БЛ)'!$G$24+$D118*'Коэффициенты (БЛ)'!$G$25+$D117*'Коэффициенты (БЛ)'!$G$26+$D116*'Коэффициенты (БЛ)'!$G$27+$D115*'Коэффициенты (БЛ)'!$G$28+$D114*'Коэффициенты (БЛ)'!$G$29+$D113*'Коэффициенты (БЛ)'!$G$30+$D112*'Коэффициенты (БЛ)'!$G$31+$D111*'Коэффициенты (БЛ)'!$G$32+$D110*'Коэффициенты (БЛ)'!$G$33+$D109*'Коэффициенты (БЛ)'!$G$34+$D108*'Коэффициенты (БЛ)'!$G$35+$D107*'Коэффициенты (БЛ)'!$G$36+$D106*'Коэффициенты (БЛ)'!$G$37+$D105*'Коэффициенты (БЛ)'!$G$38+$D104*'Коэффициенты (БЛ)'!$G$39+$D103*'Коэффициенты (БЛ)'!$G$40+$D102*'Коэффициенты (БЛ)'!$G$41+$D101*'Коэффициенты (БЛ)'!$G$42+$D100*'Коэффициенты (БЛ)'!$G$43+$D99*'Коэффициенты (БЛ)'!$G$44+$D98*'Коэффициенты (БЛ)'!$G$45+$D97*'Коэффициенты (БЛ)'!$G$46+$D96*'Коэффициенты (БЛ)'!$G$47+$D95*'Коэффициенты (БЛ)'!$G$48+$D94*'Коэффициенты (БЛ)'!$G$49+$D93*'Коэффициенты (БЛ)'!$G$50+$D92*'Коэффициенты (БЛ)'!$G$51+$D91*'Коэффициенты (БЛ)'!$G$52+$D90*'Коэффициенты (БЛ)'!$G$53+$D89*'Коэффициенты (БЛ)'!$G$54+$D88*'Коэффициенты (БЛ)'!$G$55+$D87*'Коэффициенты (БЛ)'!$G$56+$D86*'Коэффициенты (БЛ)'!$G$57+$D85*'Коэффициенты (БЛ)'!$G$58+$D84*'Коэффициенты (БЛ)'!$G$59+$D83*'Коэффициенты (БЛ)'!$G$60+$D82*'Коэффициенты (БЛ)'!$G$61+$D81*'Коэффициенты (БЛ)'!$G$62+$D80*'Коэффициенты (БЛ)'!$G$63+$D79*'Коэффициенты (БЛ)'!$G$64+$D78*'Коэффициенты (БЛ)'!$G$65+$D77*'Коэффициенты (БЛ)'!$G$66</f>
        <v>45.041555271269253</v>
      </c>
      <c r="G137" s="43">
        <v>1</v>
      </c>
      <c r="H137" s="43">
        <f t="shared" si="8"/>
        <v>1721.0354103945754</v>
      </c>
      <c r="I137" s="43">
        <f t="shared" si="9"/>
        <v>45.041555271269253</v>
      </c>
    </row>
    <row r="138" spans="2:9" ht="18" customHeight="1" x14ac:dyDescent="0.35">
      <c r="B138" s="49"/>
      <c r="C138" s="36">
        <v>11</v>
      </c>
      <c r="D138" s="37">
        <f>'Обработка руды'!E112</f>
        <v>76819.469746563685</v>
      </c>
      <c r="E138" s="37">
        <f>$D137*'Коэффициенты (ПС)'!$G$8+Расчет!$D136*'Коэффициенты (ПС)'!$G$9+$D135*'Коэффициенты (ПС)'!$G$10+$D134*'Коэффициенты (ПС)'!$G$11+$D133*'Коэффициенты (ПС)'!$G$12+$D132*'Коэффициенты (ПС)'!$G$13+$D131*'Коэффициенты (ПС)'!$G$14+$D130*'Коэффициенты (ПС)'!$G$15+$D129*'Коэффициенты (ПС)'!$G$16+$D128*'Коэффициенты (ПС)'!$G$17+$D127*'Коэффициенты (ПС)'!$G$18+$D126*'Коэффициенты (ПС)'!$G$19+$D125*'Коэффициенты (ПС)'!$G$20+$D124*'Коэффициенты (ПС)'!$G$21+$D123*'Коэффициенты (ПС)'!$G$22+$D122*'Коэффициенты (ПС)'!$G$23+$D121*'Коэффициенты (ПС)'!$G$24+$D120*'Коэффициенты (ПС)'!$G$25+$D119*'Коэффициенты (ПС)'!$G$26+$D118*'Коэффициенты (ПС)'!$G$27+$D117*'Коэффициенты (ПС)'!$G$28+$D116*'Коэффициенты (ПС)'!$G$29+$D115*'Коэффициенты (ПС)'!$G$30+$D114*'Коэффициенты (ПС)'!$G$31+$D113*'Коэффициенты (ПС)'!$G$32+$D112*'Коэффициенты (ПС)'!$G$33+$D111*'Коэффициенты (ПС)'!$G$34+$D110*'Коэффициенты (ПС)'!$G$35+$D109*'Коэффициенты (ПС)'!$G$36+$D108*'Коэффициенты (ПС)'!$G$37+$D107*'Коэффициенты (ПС)'!$G$38+$D106*'Коэффициенты (ПС)'!$G$39+$D105*'Коэффициенты (ПС)'!$G$40+$D104*'Коэффициенты (ПС)'!$G$41+$D103*'Коэффициенты (ПС)'!$G$42+$D102*'Коэффициенты (ПС)'!$G$43+$D101*'Коэффициенты (ПС)'!$G$44+$D100*'Коэффициенты (ПС)'!$G$45+$D99*'Коэффициенты (ПС)'!$G$46+$D98*'Коэффициенты (ПС)'!$G$47+$D97*'Коэффициенты (ПС)'!$G$48+$D96*'Коэффициенты (ПС)'!$G$49+$D95*'Коэффициенты (ПС)'!$G$50+$D94*'Коэффициенты (ПС)'!$G$51+$D93*'Коэффициенты (ПС)'!$G$52+$D92*'Коэффициенты (ПС)'!$G$53+$D91*'Коэффициенты (ПС)'!$G$54+$D90*'Коэффициенты (ПС)'!$G$55+$D89*'Коэффициенты (ПС)'!$G$56+$D88*'Коэффициенты (ПС)'!$G$57+$D87*'Коэффициенты (ПС)'!$G$58+$D86*'Коэффициенты (ПС)'!$G$59+$D85*'Коэффициенты (ПС)'!$G$60+$D84*'Коэффициенты (ПС)'!$G$61+$D83*'Коэффициенты (ПС)'!$G$62+$D82*'Коэффициенты (ПС)'!$G$63+$D81*'Коэффициенты (ПС)'!$G$64+$D80*'Коэффициенты (ПС)'!$G$65+$D79*'Коэффициенты (ПС)'!$G$66+$D78*'Коэффициенты (ПС)'!$G$67</f>
        <v>1647.7240650175304</v>
      </c>
      <c r="F138" s="37">
        <f>$D137*'Коэффициенты (БЛ)'!$G$7+Расчет!$D136*'Коэффициенты (БЛ)'!$G$8+$D135*'Коэффициенты (БЛ)'!$G$9+$D134*'Коэффициенты (БЛ)'!$G$10+$D133*'Коэффициенты (БЛ)'!$G$11+$D132*'Коэффициенты (БЛ)'!$G$12+$D131*'Коэффициенты (БЛ)'!$G$13+$D130*'Коэффициенты (БЛ)'!$G$14+$D129*'Коэффициенты (БЛ)'!$G$15+$D128*'Коэффициенты (БЛ)'!$G$16+$D127*'Коэффициенты (БЛ)'!$G$17+$D126*'Коэффициенты (БЛ)'!$G$18+$D125*'Коэффициенты (БЛ)'!$G$19+$D124*'Коэффициенты (БЛ)'!$G$20+$D123*'Коэффициенты (БЛ)'!$G$21+$D122*'Коэффициенты (БЛ)'!$G$22+$D121*'Коэффициенты (БЛ)'!$G$23+$D120*'Коэффициенты (БЛ)'!$G$24+$D119*'Коэффициенты (БЛ)'!$G$25+$D118*'Коэффициенты (БЛ)'!$G$26+$D117*'Коэффициенты (БЛ)'!$G$27+$D116*'Коэффициенты (БЛ)'!$G$28+$D115*'Коэффициенты (БЛ)'!$G$29+$D114*'Коэффициенты (БЛ)'!$G$30+$D113*'Коэффициенты (БЛ)'!$G$31+$D112*'Коэффициенты (БЛ)'!$G$32+$D111*'Коэффициенты (БЛ)'!$G$33+$D110*'Коэффициенты (БЛ)'!$G$34+$D109*'Коэффициенты (БЛ)'!$G$35+$D108*'Коэффициенты (БЛ)'!$G$36+$D107*'Коэффициенты (БЛ)'!$G$37+$D106*'Коэффициенты (БЛ)'!$G$38+$D105*'Коэффициенты (БЛ)'!$G$39+$D104*'Коэффициенты (БЛ)'!$G$40+$D103*'Коэффициенты (БЛ)'!$G$41+$D102*'Коэффициенты (БЛ)'!$G$42+$D101*'Коэффициенты (БЛ)'!$G$43+$D100*'Коэффициенты (БЛ)'!$G$44+$D99*'Коэффициенты (БЛ)'!$G$45+$D98*'Коэффициенты (БЛ)'!$G$46+$D97*'Коэффициенты (БЛ)'!$G$47+$D96*'Коэффициенты (БЛ)'!$G$48+$D95*'Коэффициенты (БЛ)'!$G$49+$D94*'Коэффициенты (БЛ)'!$G$50+$D93*'Коэффициенты (БЛ)'!$G$51+$D92*'Коэффициенты (БЛ)'!$G$52+$D91*'Коэффициенты (БЛ)'!$G$53+$D90*'Коэффициенты (БЛ)'!$G$54+$D89*'Коэффициенты (БЛ)'!$G$55+$D88*'Коэффициенты (БЛ)'!$G$56+$D87*'Коэффициенты (БЛ)'!$G$57+$D86*'Коэффициенты (БЛ)'!$G$58+$D85*'Коэффициенты (БЛ)'!$G$59+$D84*'Коэффициенты (БЛ)'!$G$60+$D83*'Коэффициенты (БЛ)'!$G$61+$D82*'Коэффициенты (БЛ)'!$G$62+$D81*'Коэффициенты (БЛ)'!$G$63+$D80*'Коэффициенты (БЛ)'!$G$64+$D79*'Коэффициенты (БЛ)'!$G$65+$D78*'Коэффициенты (БЛ)'!$G$66</f>
        <v>43.12290967288849</v>
      </c>
      <c r="G138" s="43">
        <v>1</v>
      </c>
      <c r="H138" s="43">
        <f t="shared" si="8"/>
        <v>1647.7240650175304</v>
      </c>
      <c r="I138" s="43">
        <f t="shared" si="9"/>
        <v>43.12290967288849</v>
      </c>
    </row>
    <row r="139" spans="2:9" ht="18" customHeight="1" x14ac:dyDescent="0.35">
      <c r="B139" s="49"/>
      <c r="C139" s="36">
        <v>12</v>
      </c>
      <c r="D139" s="37">
        <f>'Обработка руды'!E113</f>
        <v>154623.80448987818</v>
      </c>
      <c r="E139" s="37">
        <f>$D138*'Коэффициенты (ПС)'!$G$8+Расчет!$D137*'Коэффициенты (ПС)'!$G$9+$D136*'Коэффициенты (ПС)'!$G$10+$D135*'Коэффициенты (ПС)'!$G$11+$D134*'Коэффициенты (ПС)'!$G$12+$D133*'Коэффициенты (ПС)'!$G$13+$D132*'Коэффициенты (ПС)'!$G$14+$D131*'Коэффициенты (ПС)'!$G$15+$D130*'Коэффициенты (ПС)'!$G$16+$D129*'Коэффициенты (ПС)'!$G$17+$D128*'Коэффициенты (ПС)'!$G$18+$D127*'Коэффициенты (ПС)'!$G$19+$D126*'Коэффициенты (ПС)'!$G$20+$D125*'Коэффициенты (ПС)'!$G$21+$D124*'Коэффициенты (ПС)'!$G$22+$D123*'Коэффициенты (ПС)'!$G$23+$D122*'Коэффициенты (ПС)'!$G$24+$D121*'Коэффициенты (ПС)'!$G$25+$D120*'Коэффициенты (ПС)'!$G$26+$D119*'Коэффициенты (ПС)'!$G$27+$D118*'Коэффициенты (ПС)'!$G$28+$D117*'Коэффициенты (ПС)'!$G$29+$D116*'Коэффициенты (ПС)'!$G$30+$D115*'Коэффициенты (ПС)'!$G$31+$D114*'Коэффициенты (ПС)'!$G$32+$D113*'Коэффициенты (ПС)'!$G$33+$D112*'Коэффициенты (ПС)'!$G$34+$D111*'Коэффициенты (ПС)'!$G$35+$D110*'Коэффициенты (ПС)'!$G$36+$D109*'Коэффициенты (ПС)'!$G$37+$D108*'Коэффициенты (ПС)'!$G$38+$D107*'Коэффициенты (ПС)'!$G$39+$D106*'Коэффициенты (ПС)'!$G$40+$D105*'Коэффициенты (ПС)'!$G$41+$D104*'Коэффициенты (ПС)'!$G$42+$D103*'Коэффициенты (ПС)'!$G$43+$D102*'Коэффициенты (ПС)'!$G$44+$D101*'Коэффициенты (ПС)'!$G$45+$D100*'Коэффициенты (ПС)'!$G$46+$D99*'Коэффициенты (ПС)'!$G$47+$D98*'Коэффициенты (ПС)'!$G$48+$D97*'Коэффициенты (ПС)'!$G$49+$D96*'Коэффициенты (ПС)'!$G$50+$D95*'Коэффициенты (ПС)'!$G$51+$D94*'Коэффициенты (ПС)'!$G$52+$D93*'Коэффициенты (ПС)'!$G$53+$D92*'Коэффициенты (ПС)'!$G$54+$D91*'Коэффициенты (ПС)'!$G$55+$D90*'Коэффициенты (ПС)'!$G$56+$D89*'Коэффициенты (ПС)'!$G$57+$D88*'Коэффициенты (ПС)'!$G$58+$D87*'Коэффициенты (ПС)'!$G$59+$D86*'Коэффициенты (ПС)'!$G$60+$D85*'Коэффициенты (ПС)'!$G$61+$D84*'Коэффициенты (ПС)'!$G$62+$D83*'Коэффициенты (ПС)'!$G$63+$D82*'Коэффициенты (ПС)'!$G$64+$D81*'Коэффициенты (ПС)'!$G$65+$D80*'Коэффициенты (ПС)'!$G$66+$D79*'Коэффициенты (ПС)'!$G$67</f>
        <v>2443.3229240969836</v>
      </c>
      <c r="F139" s="37">
        <f>$D138*'Коэффициенты (БЛ)'!$G$7+Расчет!$D137*'Коэффициенты (БЛ)'!$G$8+$D136*'Коэффициенты (БЛ)'!$G$9+$D135*'Коэффициенты (БЛ)'!$G$10+$D134*'Коэффициенты (БЛ)'!$G$11+$D133*'Коэффициенты (БЛ)'!$G$12+$D132*'Коэффициенты (БЛ)'!$G$13+$D131*'Коэффициенты (БЛ)'!$G$14+$D130*'Коэффициенты (БЛ)'!$G$15+$D129*'Коэффициенты (БЛ)'!$G$16+$D128*'Коэффициенты (БЛ)'!$G$17+$D127*'Коэффициенты (БЛ)'!$G$18+$D126*'Коэффициенты (БЛ)'!$G$19+$D125*'Коэффициенты (БЛ)'!$G$20+$D124*'Коэффициенты (БЛ)'!$G$21+$D123*'Коэффициенты (БЛ)'!$G$22+$D122*'Коэффициенты (БЛ)'!$G$23+$D121*'Коэффициенты (БЛ)'!$G$24+$D120*'Коэффициенты (БЛ)'!$G$25+$D119*'Коэффициенты (БЛ)'!$G$26+$D118*'Коэффициенты (БЛ)'!$G$27+$D117*'Коэффициенты (БЛ)'!$G$28+$D116*'Коэффициенты (БЛ)'!$G$29+$D115*'Коэффициенты (БЛ)'!$G$30+$D114*'Коэффициенты (БЛ)'!$G$31+$D113*'Коэффициенты (БЛ)'!$G$32+$D112*'Коэффициенты (БЛ)'!$G$33+$D111*'Коэффициенты (БЛ)'!$G$34+$D110*'Коэффициенты (БЛ)'!$G$35+$D109*'Коэффициенты (БЛ)'!$G$36+$D108*'Коэффициенты (БЛ)'!$G$37+$D107*'Коэффициенты (БЛ)'!$G$38+$D106*'Коэффициенты (БЛ)'!$G$39+$D105*'Коэффициенты (БЛ)'!$G$40+$D104*'Коэффициенты (БЛ)'!$G$41+$D103*'Коэффициенты (БЛ)'!$G$42+$D102*'Коэффициенты (БЛ)'!$G$43+$D101*'Коэффициенты (БЛ)'!$G$44+$D100*'Коэффициенты (БЛ)'!$G$45+$D99*'Коэффициенты (БЛ)'!$G$46+$D98*'Коэффициенты (БЛ)'!$G$47+$D97*'Коэффициенты (БЛ)'!$G$48+$D96*'Коэффициенты (БЛ)'!$G$49+$D95*'Коэффициенты (БЛ)'!$G$50+$D94*'Коэффициенты (БЛ)'!$G$51+$D93*'Коэффициенты (БЛ)'!$G$52+$D92*'Коэффициенты (БЛ)'!$G$53+$D91*'Коэффициенты (БЛ)'!$G$54+$D90*'Коэффициенты (БЛ)'!$G$55+$D89*'Коэффициенты (БЛ)'!$G$56+$D88*'Коэффициенты (БЛ)'!$G$57+$D87*'Коэффициенты (БЛ)'!$G$58+$D86*'Коэффициенты (БЛ)'!$G$59+$D85*'Коэффициенты (БЛ)'!$G$60+$D84*'Коэффициенты (БЛ)'!$G$61+$D83*'Коэффициенты (БЛ)'!$G$62+$D82*'Коэффициенты (БЛ)'!$G$63+$D81*'Коэффициенты (БЛ)'!$G$64+$D80*'Коэффициенты (БЛ)'!$G$65+$D79*'Коэффициенты (БЛ)'!$G$66</f>
        <v>63.94468345427169</v>
      </c>
      <c r="G139" s="43">
        <v>1</v>
      </c>
      <c r="H139" s="43">
        <f t="shared" si="8"/>
        <v>2443.3229240969836</v>
      </c>
      <c r="I139" s="43">
        <f t="shared" si="9"/>
        <v>63.94468345427169</v>
      </c>
    </row>
    <row r="140" spans="2:9" ht="18" customHeight="1" x14ac:dyDescent="0.35">
      <c r="B140" s="49">
        <v>2035</v>
      </c>
      <c r="C140" s="36">
        <v>1</v>
      </c>
      <c r="D140" s="37">
        <f>'Обработка руды'!E114</f>
        <v>0</v>
      </c>
      <c r="E140" s="37">
        <f>$D139*'Коэффициенты (ПС)'!$G$8+Расчет!$D138*'Коэффициенты (ПС)'!$G$9+$D137*'Коэффициенты (ПС)'!$G$10+$D136*'Коэффициенты (ПС)'!$G$11+$D135*'Коэффициенты (ПС)'!$G$12+$D134*'Коэффициенты (ПС)'!$G$13+$D133*'Коэффициенты (ПС)'!$G$14+$D132*'Коэффициенты (ПС)'!$G$15+$D131*'Коэффициенты (ПС)'!$G$16+$D130*'Коэффициенты (ПС)'!$G$17+$D129*'Коэффициенты (ПС)'!$G$18+$D128*'Коэффициенты (ПС)'!$G$19+$D127*'Коэффициенты (ПС)'!$G$20+$D126*'Коэффициенты (ПС)'!$G$21+$D125*'Коэффициенты (ПС)'!$G$22+$D124*'Коэффициенты (ПС)'!$G$23+$D123*'Коэффициенты (ПС)'!$G$24+$D122*'Коэффициенты (ПС)'!$G$25+$D121*'Коэффициенты (ПС)'!$G$26+$D120*'Коэффициенты (ПС)'!$G$27+$D119*'Коэффициенты (ПС)'!$G$28+$D118*'Коэффициенты (ПС)'!$G$29+$D117*'Коэффициенты (ПС)'!$G$30+$D116*'Коэффициенты (ПС)'!$G$31+$D115*'Коэффициенты (ПС)'!$G$32+$D114*'Коэффициенты (ПС)'!$G$33+$D113*'Коэффициенты (ПС)'!$G$34+$D112*'Коэффициенты (ПС)'!$G$35+$D111*'Коэффициенты (ПС)'!$G$36+$D110*'Коэффициенты (ПС)'!$G$37+$D109*'Коэффициенты (ПС)'!$G$38+$D108*'Коэффициенты (ПС)'!$G$39+$D107*'Коэффициенты (ПС)'!$G$40+$D106*'Коэффициенты (ПС)'!$G$41+$D105*'Коэффициенты (ПС)'!$G$42+$D104*'Коэффициенты (ПС)'!$G$43+$D103*'Коэффициенты (ПС)'!$G$44+$D102*'Коэффициенты (ПС)'!$G$45+$D101*'Коэффициенты (ПС)'!$G$46+$D100*'Коэффициенты (ПС)'!$G$47+$D99*'Коэффициенты (ПС)'!$G$48+$D98*'Коэффициенты (ПС)'!$G$49+$D97*'Коэффициенты (ПС)'!$G$50+$D96*'Коэффициенты (ПС)'!$G$51+$D95*'Коэффициенты (ПС)'!$G$52+$D94*'Коэффициенты (ПС)'!$G$53+$D93*'Коэффициенты (ПС)'!$G$54+$D92*'Коэффициенты (ПС)'!$G$55+$D91*'Коэффициенты (ПС)'!$G$56+$D90*'Коэффициенты (ПС)'!$G$57+$D89*'Коэффициенты (ПС)'!$G$58+$D88*'Коэффициенты (ПС)'!$G$59+$D87*'Коэффициенты (ПС)'!$G$60+$D86*'Коэффициенты (ПС)'!$G$61+$D85*'Коэффициенты (ПС)'!$G$62+$D84*'Коэффициенты (ПС)'!$G$63+$D83*'Коэффициенты (ПС)'!$G$64+$D82*'Коэффициенты (ПС)'!$G$65+$D81*'Коэффициенты (ПС)'!$G$66+$D80*'Коэффициенты (ПС)'!$G$67</f>
        <v>3432.6977727742487</v>
      </c>
      <c r="F140" s="37">
        <f>$D139*'Коэффициенты (БЛ)'!$G$7+Расчет!$D138*'Коэффициенты (БЛ)'!$G$8+$D137*'Коэффициенты (БЛ)'!$G$9+$D136*'Коэффициенты (БЛ)'!$G$10+$D135*'Коэффициенты (БЛ)'!$G$11+$D134*'Коэффициенты (БЛ)'!$G$12+$D133*'Коэффициенты (БЛ)'!$G$13+$D132*'Коэффициенты (БЛ)'!$G$14+$D131*'Коэффициенты (БЛ)'!$G$15+$D130*'Коэффициенты (БЛ)'!$G$16+$D129*'Коэффициенты (БЛ)'!$G$17+$D128*'Коэффициенты (БЛ)'!$G$18+$D127*'Коэффициенты (БЛ)'!$G$19+$D126*'Коэффициенты (БЛ)'!$G$20+$D125*'Коэффициенты (БЛ)'!$G$21+$D124*'Коэффициенты (БЛ)'!$G$22+$D123*'Коэффициенты (БЛ)'!$G$23+$D122*'Коэффициенты (БЛ)'!$G$24+$D121*'Коэффициенты (БЛ)'!$G$25+$D120*'Коэффициенты (БЛ)'!$G$26+$D119*'Коэффициенты (БЛ)'!$G$27+$D118*'Коэффициенты (БЛ)'!$G$28+$D117*'Коэффициенты (БЛ)'!$G$29+$D116*'Коэффициенты (БЛ)'!$G$30+$D115*'Коэффициенты (БЛ)'!$G$31+$D114*'Коэффициенты (БЛ)'!$G$32+$D113*'Коэффициенты (БЛ)'!$G$33+$D112*'Коэффициенты (БЛ)'!$G$34+$D111*'Коэффициенты (БЛ)'!$G$35+$D110*'Коэффициенты (БЛ)'!$G$36+$D109*'Коэффициенты (БЛ)'!$G$37+$D108*'Коэффициенты (БЛ)'!$G$38+$D107*'Коэффициенты (БЛ)'!$G$39+$D106*'Коэффициенты (БЛ)'!$G$40+$D105*'Коэффициенты (БЛ)'!$G$41+$D104*'Коэффициенты (БЛ)'!$G$42+$D103*'Коэффициенты (БЛ)'!$G$43+$D102*'Коэффициенты (БЛ)'!$G$44+$D101*'Коэффициенты (БЛ)'!$G$45+$D100*'Коэффициенты (БЛ)'!$G$46+$D99*'Коэффициенты (БЛ)'!$G$47+$D98*'Коэффициенты (БЛ)'!$G$48+$D97*'Коэффициенты (БЛ)'!$G$49+$D96*'Коэффициенты (БЛ)'!$G$50+$D95*'Коэффициенты (БЛ)'!$G$51+$D94*'Коэффициенты (БЛ)'!$G$52+$D93*'Коэффициенты (БЛ)'!$G$53+$D92*'Коэффициенты (БЛ)'!$G$54+$D91*'Коэффициенты (БЛ)'!$G$55+$D90*'Коэффициенты (БЛ)'!$G$56+$D89*'Коэффициенты (БЛ)'!$G$57+$D88*'Коэффициенты (БЛ)'!$G$58+$D87*'Коэффициенты (БЛ)'!$G$59+$D86*'Коэффициенты (БЛ)'!$G$60+$D85*'Коэффициенты (БЛ)'!$G$61+$D84*'Коэффициенты (БЛ)'!$G$62+$D83*'Коэффициенты (БЛ)'!$G$63+$D82*'Коэффициенты (БЛ)'!$G$64+$D81*'Коэффициенты (БЛ)'!$G$65+$D80*'Коэффициенты (БЛ)'!$G$66</f>
        <v>89.837806664609388</v>
      </c>
      <c r="G140" s="43">
        <v>1</v>
      </c>
      <c r="H140" s="43">
        <f t="shared" si="8"/>
        <v>3432.6977727742487</v>
      </c>
      <c r="I140" s="43">
        <f t="shared" si="9"/>
        <v>89.837806664609388</v>
      </c>
    </row>
    <row r="141" spans="2:9" ht="18" customHeight="1" x14ac:dyDescent="0.35">
      <c r="B141" s="49"/>
      <c r="C141" s="36">
        <v>2</v>
      </c>
      <c r="D141" s="37">
        <f>'Обработка руды'!E115</f>
        <v>68556.51488788944</v>
      </c>
      <c r="E141" s="37">
        <f>$D140*'Коэффициенты (ПС)'!$G$8+Расчет!$D139*'Коэффициенты (ПС)'!$G$9+$D138*'Коэффициенты (ПС)'!$G$10+$D137*'Коэффициенты (ПС)'!$G$11+$D136*'Коэффициенты (ПС)'!$G$12+$D135*'Коэффициенты (ПС)'!$G$13+$D134*'Коэффициенты (ПС)'!$G$14+$D133*'Коэффициенты (ПС)'!$G$15+$D132*'Коэффициенты (ПС)'!$G$16+$D131*'Коэффициенты (ПС)'!$G$17+$D130*'Коэффициенты (ПС)'!$G$18+$D129*'Коэффициенты (ПС)'!$G$19+$D128*'Коэффициенты (ПС)'!$G$20+$D127*'Коэффициенты (ПС)'!$G$21+$D126*'Коэффициенты (ПС)'!$G$22+$D125*'Коэффициенты (ПС)'!$G$23+$D124*'Коэффициенты (ПС)'!$G$24+$D123*'Коэффициенты (ПС)'!$G$25+$D122*'Коэффициенты (ПС)'!$G$26+$D121*'Коэффициенты (ПС)'!$G$27+$D120*'Коэффициенты (ПС)'!$G$28+$D119*'Коэффициенты (ПС)'!$G$29+$D118*'Коэффициенты (ПС)'!$G$30+$D117*'Коэффициенты (ПС)'!$G$31+$D116*'Коэффициенты (ПС)'!$G$32+$D115*'Коэффициенты (ПС)'!$G$33+$D114*'Коэффициенты (ПС)'!$G$34+$D113*'Коэффициенты (ПС)'!$G$35+$D112*'Коэффициенты (ПС)'!$G$36+$D111*'Коэффициенты (ПС)'!$G$37+$D110*'Коэффициенты (ПС)'!$G$38+$D109*'Коэффициенты (ПС)'!$G$39+$D108*'Коэффициенты (ПС)'!$G$40+$D107*'Коэффициенты (ПС)'!$G$41+$D106*'Коэффициенты (ПС)'!$G$42+$D105*'Коэффициенты (ПС)'!$G$43+$D104*'Коэффициенты (ПС)'!$G$44+$D103*'Коэффициенты (ПС)'!$G$45+$D102*'Коэффициенты (ПС)'!$G$46+$D101*'Коэффициенты (ПС)'!$G$47+$D100*'Коэффициенты (ПС)'!$G$48+$D99*'Коэффициенты (ПС)'!$G$49+$D98*'Коэффициенты (ПС)'!$G$50+$D97*'Коэффициенты (ПС)'!$G$51+$D96*'Коэффициенты (ПС)'!$G$52+$D95*'Коэффициенты (ПС)'!$G$53+$D94*'Коэффициенты (ПС)'!$G$54+$D93*'Коэффициенты (ПС)'!$G$55+$D92*'Коэффициенты (ПС)'!$G$56+$D91*'Коэффициенты (ПС)'!$G$57+$D90*'Коэффициенты (ПС)'!$G$58+$D89*'Коэффициенты (ПС)'!$G$59+$D88*'Коэффициенты (ПС)'!$G$60+$D87*'Коэффициенты (ПС)'!$G$61+$D86*'Коэффициенты (ПС)'!$G$62+$D85*'Коэффициенты (ПС)'!$G$63+$D84*'Коэффициенты (ПС)'!$G$64+$D83*'Коэффициенты (ПС)'!$G$65+$D82*'Коэффициенты (ПС)'!$G$66+$D81*'Коэффициенты (ПС)'!$G$67</f>
        <v>2263.7241026896854</v>
      </c>
      <c r="F141" s="37">
        <f>$D140*'Коэффициенты (БЛ)'!$G$7+Расчет!$D139*'Коэффициенты (БЛ)'!$G$8+$D138*'Коэффициенты (БЛ)'!$G$9+$D137*'Коэффициенты (БЛ)'!$G$10+$D136*'Коэффициенты (БЛ)'!$G$11+$D135*'Коэффициенты (БЛ)'!$G$12+$D134*'Коэффициенты (БЛ)'!$G$13+$D133*'Коэффициенты (БЛ)'!$G$14+$D132*'Коэффициенты (БЛ)'!$G$15+$D131*'Коэффициенты (БЛ)'!$G$16+$D130*'Коэффициенты (БЛ)'!$G$17+$D129*'Коэффициенты (БЛ)'!$G$18+$D128*'Коэффициенты (БЛ)'!$G$19+$D127*'Коэффициенты (БЛ)'!$G$20+$D126*'Коэффициенты (БЛ)'!$G$21+$D125*'Коэффициенты (БЛ)'!$G$22+$D124*'Коэффициенты (БЛ)'!$G$23+$D123*'Коэффициенты (БЛ)'!$G$24+$D122*'Коэффициенты (БЛ)'!$G$25+$D121*'Коэффициенты (БЛ)'!$G$26+$D120*'Коэффициенты (БЛ)'!$G$27+$D119*'Коэффициенты (БЛ)'!$G$28+$D118*'Коэффициенты (БЛ)'!$G$29+$D117*'Коэффициенты (БЛ)'!$G$30+$D116*'Коэффициенты (БЛ)'!$G$31+$D115*'Коэффициенты (БЛ)'!$G$32+$D114*'Коэффициенты (БЛ)'!$G$33+$D113*'Коэффициенты (БЛ)'!$G$34+$D112*'Коэффициенты (БЛ)'!$G$35+$D111*'Коэффициенты (БЛ)'!$G$36+$D110*'Коэффициенты (БЛ)'!$G$37+$D109*'Коэффициенты (БЛ)'!$G$38+$D108*'Коэффициенты (БЛ)'!$G$39+$D107*'Коэффициенты (БЛ)'!$G$40+$D106*'Коэффициенты (БЛ)'!$G$41+$D105*'Коэффициенты (БЛ)'!$G$42+$D104*'Коэффициенты (БЛ)'!$G$43+$D103*'Коэффициенты (БЛ)'!$G$44+$D102*'Коэффициенты (БЛ)'!$G$45+$D101*'Коэффициенты (БЛ)'!$G$46+$D100*'Коэффициенты (БЛ)'!$G$47+$D99*'Коэффициенты (БЛ)'!$G$48+$D98*'Коэффициенты (БЛ)'!$G$49+$D97*'Коэффициенты (БЛ)'!$G$50+$D96*'Коэффициенты (БЛ)'!$G$51+$D95*'Коэффициенты (БЛ)'!$G$52+$D94*'Коэффициенты (БЛ)'!$G$53+$D93*'Коэффициенты (БЛ)'!$G$54+$D92*'Коэффициенты (БЛ)'!$G$55+$D91*'Коэффициенты (БЛ)'!$G$56+$D90*'Коэффициенты (БЛ)'!$G$57+$D89*'Коэффициенты (БЛ)'!$G$58+$D88*'Коэффициенты (БЛ)'!$G$59+$D87*'Коэффициенты (БЛ)'!$G$60+$D86*'Коэффициенты (БЛ)'!$G$61+$D85*'Коэффициенты (БЛ)'!$G$62+$D84*'Коэффициенты (БЛ)'!$G$63+$D83*'Коэффициенты (БЛ)'!$G$64+$D82*'Коэффициенты (БЛ)'!$G$65+$D81*'Коэффициенты (БЛ)'!$G$66</f>
        <v>59.24436747459243</v>
      </c>
      <c r="G141" s="43">
        <v>1</v>
      </c>
      <c r="H141" s="43">
        <f t="shared" si="8"/>
        <v>2263.7241026896854</v>
      </c>
      <c r="I141" s="43">
        <f t="shared" si="9"/>
        <v>59.24436747459243</v>
      </c>
    </row>
    <row r="142" spans="2:9" ht="18" customHeight="1" x14ac:dyDescent="0.35">
      <c r="B142" s="49"/>
      <c r="C142" s="36">
        <v>3</v>
      </c>
      <c r="D142" s="37">
        <f>'Обработка руды'!E116</f>
        <v>0</v>
      </c>
      <c r="E142" s="37">
        <f>$D141*'Коэффициенты (ПС)'!$G$8+Расчет!$D140*'Коэффициенты (ПС)'!$G$9+$D139*'Коэффициенты (ПС)'!$G$10+$D138*'Коэффициенты (ПС)'!$G$11+$D137*'Коэффициенты (ПС)'!$G$12+$D136*'Коэффициенты (ПС)'!$G$13+$D135*'Коэффициенты (ПС)'!$G$14+$D134*'Коэффициенты (ПС)'!$G$15+$D133*'Коэффициенты (ПС)'!$G$16+$D132*'Коэффициенты (ПС)'!$G$17+$D131*'Коэффициенты (ПС)'!$G$18+$D130*'Коэффициенты (ПС)'!$G$19+$D129*'Коэффициенты (ПС)'!$G$20+$D128*'Коэффициенты (ПС)'!$G$21+$D127*'Коэффициенты (ПС)'!$G$22+$D126*'Коэффициенты (ПС)'!$G$23+$D125*'Коэффициенты (ПС)'!$G$24+$D124*'Коэффициенты (ПС)'!$G$25+$D123*'Коэффициенты (ПС)'!$G$26+$D122*'Коэффициенты (ПС)'!$G$27+$D121*'Коэффициенты (ПС)'!$G$28+$D120*'Коэффициенты (ПС)'!$G$29+$D119*'Коэффициенты (ПС)'!$G$30+$D118*'Коэффициенты (ПС)'!$G$31+$D117*'Коэффициенты (ПС)'!$G$32+$D116*'Коэффициенты (ПС)'!$G$33+$D115*'Коэффициенты (ПС)'!$G$34+$D114*'Коэффициенты (ПС)'!$G$35+$D113*'Коэффициенты (ПС)'!$G$36+$D112*'Коэффициенты (ПС)'!$G$37+$D111*'Коэффициенты (ПС)'!$G$38+$D110*'Коэффициенты (ПС)'!$G$39+$D109*'Коэффициенты (ПС)'!$G$40+$D108*'Коэффициенты (ПС)'!$G$41+$D107*'Коэффициенты (ПС)'!$G$42+$D106*'Коэффициенты (ПС)'!$G$43+$D105*'Коэффициенты (ПС)'!$G$44+$D104*'Коэффициенты (ПС)'!$G$45+$D103*'Коэффициенты (ПС)'!$G$46+$D102*'Коэффициенты (ПС)'!$G$47+$D101*'Коэффициенты (ПС)'!$G$48+$D100*'Коэффициенты (ПС)'!$G$49+$D99*'Коэффициенты (ПС)'!$G$50+$D98*'Коэффициенты (ПС)'!$G$51+$D97*'Коэффициенты (ПС)'!$G$52+$D96*'Коэффициенты (ПС)'!$G$53+$D95*'Коэффициенты (ПС)'!$G$54+$D94*'Коэффициенты (ПС)'!$G$55+$D93*'Коэффициенты (ПС)'!$G$56+$D92*'Коэффициенты (ПС)'!$G$57+$D91*'Коэффициенты (ПС)'!$G$58+$D90*'Коэффициенты (ПС)'!$G$59+$D89*'Коэффициенты (ПС)'!$G$60+$D88*'Коэффициенты (ПС)'!$G$61+$D87*'Коэффициенты (ПС)'!$G$62+$D86*'Коэффициенты (ПС)'!$G$63+$D85*'Коэффициенты (ПС)'!$G$64+$D84*'Коэффициенты (ПС)'!$G$65+$D83*'Коэффициенты (ПС)'!$G$66+$D82*'Коэффициенты (ПС)'!$G$67</f>
        <v>2853.8052581057991</v>
      </c>
      <c r="F142" s="37">
        <f>$D141*'Коэффициенты (БЛ)'!$G$7+Расчет!$D140*'Коэффициенты (БЛ)'!$G$8+$D139*'Коэффициенты (БЛ)'!$G$9+$D138*'Коэффициенты (БЛ)'!$G$10+$D137*'Коэффициенты (БЛ)'!$G$11+$D136*'Коэффициенты (БЛ)'!$G$12+$D135*'Коэффициенты (БЛ)'!$G$13+$D134*'Коэффициенты (БЛ)'!$G$14+$D133*'Коэффициенты (БЛ)'!$G$15+$D132*'Коэффициенты (БЛ)'!$G$16+$D131*'Коэффициенты (БЛ)'!$G$17+$D130*'Коэффициенты (БЛ)'!$G$18+$D129*'Коэффициенты (БЛ)'!$G$19+$D128*'Коэффициенты (БЛ)'!$G$20+$D127*'Коэффициенты (БЛ)'!$G$21+$D126*'Коэффициенты (БЛ)'!$G$22+$D125*'Коэффициенты (БЛ)'!$G$23+$D124*'Коэффициенты (БЛ)'!$G$24+$D123*'Коэффициенты (БЛ)'!$G$25+$D122*'Коэффициенты (БЛ)'!$G$26+$D121*'Коэффициенты (БЛ)'!$G$27+$D120*'Коэффициенты (БЛ)'!$G$28+$D119*'Коэффициенты (БЛ)'!$G$29+$D118*'Коэффициенты (БЛ)'!$G$30+$D117*'Коэффициенты (БЛ)'!$G$31+$D116*'Коэффициенты (БЛ)'!$G$32+$D115*'Коэффициенты (БЛ)'!$G$33+$D114*'Коэффициенты (БЛ)'!$G$34+$D113*'Коэффициенты (БЛ)'!$G$35+$D112*'Коэффициенты (БЛ)'!$G$36+$D111*'Коэффициенты (БЛ)'!$G$37+$D110*'Коэффициенты (БЛ)'!$G$38+$D109*'Коэффициенты (БЛ)'!$G$39+$D108*'Коэффициенты (БЛ)'!$G$40+$D107*'Коэффициенты (БЛ)'!$G$41+$D106*'Коэффициенты (БЛ)'!$G$42+$D105*'Коэффициенты (БЛ)'!$G$43+$D104*'Коэффициенты (БЛ)'!$G$44+$D103*'Коэффициенты (БЛ)'!$G$45+$D102*'Коэффициенты (БЛ)'!$G$46+$D101*'Коэффициенты (БЛ)'!$G$47+$D100*'Коэффициенты (БЛ)'!$G$48+$D99*'Коэффициенты (БЛ)'!$G$49+$D98*'Коэффициенты (БЛ)'!$G$50+$D97*'Коэффициенты (БЛ)'!$G$51+$D96*'Коэффициенты (БЛ)'!$G$52+$D95*'Коэффициенты (БЛ)'!$G$53+$D94*'Коэффициенты (БЛ)'!$G$54+$D93*'Коэффициенты (БЛ)'!$G$55+$D92*'Коэффициенты (БЛ)'!$G$56+$D91*'Коэффициенты (БЛ)'!$G$57+$D90*'Коэффициенты (БЛ)'!$G$58+$D89*'Коэффициенты (БЛ)'!$G$59+$D88*'Коэффициенты (БЛ)'!$G$60+$D87*'Коэффициенты (БЛ)'!$G$61+$D86*'Коэффициенты (БЛ)'!$G$62+$D85*'Коэффициенты (БЛ)'!$G$63+$D84*'Коэффициенты (БЛ)'!$G$64+$D83*'Коэффициенты (БЛ)'!$G$65+$D82*'Коэффициенты (БЛ)'!$G$66</f>
        <v>74.687497125315758</v>
      </c>
      <c r="G142" s="43">
        <v>1</v>
      </c>
      <c r="H142" s="43">
        <f t="shared" si="8"/>
        <v>2853.8052581057991</v>
      </c>
      <c r="I142" s="43">
        <f t="shared" si="9"/>
        <v>74.687497125315758</v>
      </c>
    </row>
    <row r="143" spans="2:9" ht="18" customHeight="1" x14ac:dyDescent="0.35">
      <c r="B143" s="49"/>
      <c r="C143" s="36">
        <v>4</v>
      </c>
      <c r="D143" s="37">
        <f>'Обработка руды'!E117</f>
        <v>0</v>
      </c>
      <c r="E143" s="37">
        <f>$D142*'Коэффициенты (ПС)'!$G$8+Расчет!$D141*'Коэффициенты (ПС)'!$G$9+$D140*'Коэффициенты (ПС)'!$G$10+$D139*'Коэффициенты (ПС)'!$G$11+$D138*'Коэффициенты (ПС)'!$G$12+$D137*'Коэффициенты (ПС)'!$G$13+$D136*'Коэффициенты (ПС)'!$G$14+$D135*'Коэффициенты (ПС)'!$G$15+$D134*'Коэффициенты (ПС)'!$G$16+$D133*'Коэффициенты (ПС)'!$G$17+$D132*'Коэффициенты (ПС)'!$G$18+$D131*'Коэффициенты (ПС)'!$G$19+$D130*'Коэффициенты (ПС)'!$G$20+$D129*'Коэффициенты (ПС)'!$G$21+$D128*'Коэффициенты (ПС)'!$G$22+$D127*'Коэффициенты (ПС)'!$G$23+$D126*'Коэффициенты (ПС)'!$G$24+$D125*'Коэффициенты (ПС)'!$G$25+$D124*'Коэффициенты (ПС)'!$G$26+$D123*'Коэффициенты (ПС)'!$G$27+$D122*'Коэффициенты (ПС)'!$G$28+$D121*'Коэффициенты (ПС)'!$G$29+$D120*'Коэффициенты (ПС)'!$G$30+$D119*'Коэффициенты (ПС)'!$G$31+$D118*'Коэффициенты (ПС)'!$G$32+$D117*'Коэффициенты (ПС)'!$G$33+$D116*'Коэффициенты (ПС)'!$G$34+$D115*'Коэффициенты (ПС)'!$G$35+$D114*'Коэффициенты (ПС)'!$G$36+$D113*'Коэффициенты (ПС)'!$G$37+$D112*'Коэффициенты (ПС)'!$G$38+$D111*'Коэффициенты (ПС)'!$G$39+$D110*'Коэффициенты (ПС)'!$G$40+$D109*'Коэффициенты (ПС)'!$G$41+$D108*'Коэффициенты (ПС)'!$G$42+$D107*'Коэффициенты (ПС)'!$G$43+$D106*'Коэффициенты (ПС)'!$G$44+$D105*'Коэффициенты (ПС)'!$G$45+$D104*'Коэффициенты (ПС)'!$G$46+$D103*'Коэффициенты (ПС)'!$G$47+$D102*'Коэффициенты (ПС)'!$G$48+$D101*'Коэффициенты (ПС)'!$G$49+$D100*'Коэффициенты (ПС)'!$G$50+$D99*'Коэффициенты (ПС)'!$G$51+$D98*'Коэффициенты (ПС)'!$G$52+$D97*'Коэффициенты (ПС)'!$G$53+$D96*'Коэффициенты (ПС)'!$G$54+$D95*'Коэффициенты (ПС)'!$G$55+$D94*'Коэффициенты (ПС)'!$G$56+$D93*'Коэффициенты (ПС)'!$G$57+$D92*'Коэффициенты (ПС)'!$G$58+$D91*'Коэффициенты (ПС)'!$G$59+$D90*'Коэффициенты (ПС)'!$G$60+$D89*'Коэффициенты (ПС)'!$G$61+$D88*'Коэффициенты (ПС)'!$G$62+$D87*'Коэффициенты (ПС)'!$G$63+$D86*'Коэффициенты (ПС)'!$G$64+$D85*'Коэффициенты (ПС)'!$G$65+$D84*'Коэффициенты (ПС)'!$G$66+$D83*'Коэффициенты (ПС)'!$G$67</f>
        <v>2187.8171914192039</v>
      </c>
      <c r="F143" s="37">
        <f>$D142*'Коэффициенты (БЛ)'!$G$7+Расчет!$D141*'Коэффициенты (БЛ)'!$G$8+$D140*'Коэффициенты (БЛ)'!$G$9+$D139*'Коэффициенты (БЛ)'!$G$10+$D138*'Коэффициенты (БЛ)'!$G$11+$D137*'Коэффициенты (БЛ)'!$G$12+$D136*'Коэффициенты (БЛ)'!$G$13+$D135*'Коэффициенты (БЛ)'!$G$14+$D134*'Коэффициенты (БЛ)'!$G$15+$D133*'Коэффициенты (БЛ)'!$G$16+$D132*'Коэффициенты (БЛ)'!$G$17+$D131*'Коэффициенты (БЛ)'!$G$18+$D130*'Коэффициенты (БЛ)'!$G$19+$D129*'Коэффициенты (БЛ)'!$G$20+$D128*'Коэффициенты (БЛ)'!$G$21+$D127*'Коэффициенты (БЛ)'!$G$22+$D126*'Коэффициенты (БЛ)'!$G$23+$D125*'Коэффициенты (БЛ)'!$G$24+$D124*'Коэффициенты (БЛ)'!$G$25+$D123*'Коэффициенты (БЛ)'!$G$26+$D122*'Коэффициенты (БЛ)'!$G$27+$D121*'Коэффициенты (БЛ)'!$G$28+$D120*'Коэффициенты (БЛ)'!$G$29+$D119*'Коэффициенты (БЛ)'!$G$30+$D118*'Коэффициенты (БЛ)'!$G$31+$D117*'Коэффициенты (БЛ)'!$G$32+$D116*'Коэффициенты (БЛ)'!$G$33+$D115*'Коэффициенты (БЛ)'!$G$34+$D114*'Коэффициенты (БЛ)'!$G$35+$D113*'Коэффициенты (БЛ)'!$G$36+$D112*'Коэффициенты (БЛ)'!$G$37+$D111*'Коэффициенты (БЛ)'!$G$38+$D110*'Коэффициенты (БЛ)'!$G$39+$D109*'Коэффициенты (БЛ)'!$G$40+$D108*'Коэффициенты (БЛ)'!$G$41+$D107*'Коэффициенты (БЛ)'!$G$42+$D106*'Коэффициенты (БЛ)'!$G$43+$D105*'Коэффициенты (БЛ)'!$G$44+$D104*'Коэффициенты (БЛ)'!$G$45+$D103*'Коэффициенты (БЛ)'!$G$46+$D102*'Коэффициенты (БЛ)'!$G$47+$D101*'Коэффициенты (БЛ)'!$G$48+$D100*'Коэффициенты (БЛ)'!$G$49+$D99*'Коэффициенты (БЛ)'!$G$50+$D98*'Коэффициенты (БЛ)'!$G$51+$D97*'Коэффициенты (БЛ)'!$G$52+$D96*'Коэффициенты (БЛ)'!$G$53+$D95*'Коэффициенты (БЛ)'!$G$54+$D94*'Коэффициенты (БЛ)'!$G$55+$D93*'Коэффициенты (БЛ)'!$G$56+$D92*'Коэффициенты (БЛ)'!$G$57+$D91*'Коэффициенты (БЛ)'!$G$58+$D90*'Коэффициенты (БЛ)'!$G$59+$D89*'Коэффициенты (БЛ)'!$G$60+$D88*'Коэффициенты (БЛ)'!$G$61+$D87*'Коэффициенты (БЛ)'!$G$62+$D86*'Коэффициенты (БЛ)'!$G$63+$D85*'Коэффициенты (БЛ)'!$G$64+$D84*'Коэффициенты (БЛ)'!$G$65+$D83*'Коэффициенты (БЛ)'!$G$66</f>
        <v>57.257792812147215</v>
      </c>
      <c r="G143" s="43">
        <v>1</v>
      </c>
      <c r="H143" s="43">
        <f t="shared" si="8"/>
        <v>2187.8171914192039</v>
      </c>
      <c r="I143" s="43">
        <f t="shared" si="9"/>
        <v>57.257792812147215</v>
      </c>
    </row>
    <row r="144" spans="2:9" ht="18" customHeight="1" x14ac:dyDescent="0.35">
      <c r="B144" s="49"/>
      <c r="C144" s="36">
        <v>5</v>
      </c>
      <c r="D144" s="37">
        <f>'Обработка руды'!E118</f>
        <v>0</v>
      </c>
      <c r="E144" s="37">
        <f>$D143*'Коэффициенты (ПС)'!$G$8+Расчет!$D142*'Коэффициенты (ПС)'!$G$9+$D141*'Коэффициенты (ПС)'!$G$10+$D140*'Коэффициенты (ПС)'!$G$11+$D139*'Коэффициенты (ПС)'!$G$12+$D138*'Коэффициенты (ПС)'!$G$13+$D137*'Коэффициенты (ПС)'!$G$14+$D136*'Коэффициенты (ПС)'!$G$15+$D135*'Коэффициенты (ПС)'!$G$16+$D134*'Коэффициенты (ПС)'!$G$17+$D133*'Коэффициенты (ПС)'!$G$18+$D132*'Коэффициенты (ПС)'!$G$19+$D131*'Коэффициенты (ПС)'!$G$20+$D130*'Коэффициенты (ПС)'!$G$21+$D129*'Коэффициенты (ПС)'!$G$22+$D128*'Коэффициенты (ПС)'!$G$23+$D127*'Коэффициенты (ПС)'!$G$24+$D126*'Коэффициенты (ПС)'!$G$25+$D125*'Коэффициенты (ПС)'!$G$26+$D124*'Коэффициенты (ПС)'!$G$27+$D123*'Коэффициенты (ПС)'!$G$28+$D122*'Коэффициенты (ПС)'!$G$29+$D121*'Коэффициенты (ПС)'!$G$30+$D120*'Коэффициенты (ПС)'!$G$31+$D119*'Коэффициенты (ПС)'!$G$32+$D118*'Коэффициенты (ПС)'!$G$33+$D117*'Коэффициенты (ПС)'!$G$34+$D116*'Коэффициенты (ПС)'!$G$35+$D115*'Коэффициенты (ПС)'!$G$36+$D114*'Коэффициенты (ПС)'!$G$37+$D113*'Коэффициенты (ПС)'!$G$38+$D112*'Коэффициенты (ПС)'!$G$39+$D111*'Коэффициенты (ПС)'!$G$40+$D110*'Коэффициенты (ПС)'!$G$41+$D109*'Коэффициенты (ПС)'!$G$42+$D108*'Коэффициенты (ПС)'!$G$43+$D107*'Коэффициенты (ПС)'!$G$44+$D106*'Коэффициенты (ПС)'!$G$45+$D105*'Коэффициенты (ПС)'!$G$46+$D104*'Коэффициенты (ПС)'!$G$47+$D103*'Коэффициенты (ПС)'!$G$48+$D102*'Коэффициенты (ПС)'!$G$49+$D101*'Коэффициенты (ПС)'!$G$50+$D100*'Коэффициенты (ПС)'!$G$51+$D99*'Коэффициенты (ПС)'!$G$52+$D98*'Коэффициенты (ПС)'!$G$53+$D97*'Коэффициенты (ПС)'!$G$54+$D96*'Коэффициенты (ПС)'!$G$55+$D95*'Коэффициенты (ПС)'!$G$56+$D94*'Коэффициенты (ПС)'!$G$57+$D93*'Коэффициенты (ПС)'!$G$58+$D92*'Коэффициенты (ПС)'!$G$59+$D91*'Коэффициенты (ПС)'!$G$60+$D90*'Коэффициенты (ПС)'!$G$61+$D89*'Коэффициенты (ПС)'!$G$62+$D88*'Коэффициенты (ПС)'!$G$63+$D87*'Коэффициенты (ПС)'!$G$64+$D86*'Коэффициенты (ПС)'!$G$65+$D85*'Коэффициенты (ПС)'!$G$66+$D84*'Коэффициенты (ПС)'!$G$67</f>
        <v>2093.6261257396727</v>
      </c>
      <c r="F144" s="37">
        <f>$D143*'Коэффициенты (БЛ)'!$G$7+Расчет!$D142*'Коэффициенты (БЛ)'!$G$8+$D141*'Коэффициенты (БЛ)'!$G$9+$D140*'Коэффициенты (БЛ)'!$G$10+$D139*'Коэффициенты (БЛ)'!$G$11+$D138*'Коэффициенты (БЛ)'!$G$12+$D137*'Коэффициенты (БЛ)'!$G$13+$D136*'Коэффициенты (БЛ)'!$G$14+$D135*'Коэффициенты (БЛ)'!$G$15+$D134*'Коэффициенты (БЛ)'!$G$16+$D133*'Коэффициенты (БЛ)'!$G$17+$D132*'Коэффициенты (БЛ)'!$G$18+$D131*'Коэффициенты (БЛ)'!$G$19+$D130*'Коэффициенты (БЛ)'!$G$20+$D129*'Коэффициенты (БЛ)'!$G$21+$D128*'Коэффициенты (БЛ)'!$G$22+$D127*'Коэффициенты (БЛ)'!$G$23+$D126*'Коэффициенты (БЛ)'!$G$24+$D125*'Коэффициенты (БЛ)'!$G$25+$D124*'Коэффициенты (БЛ)'!$G$26+$D123*'Коэффициенты (БЛ)'!$G$27+$D122*'Коэффициенты (БЛ)'!$G$28+$D121*'Коэффициенты (БЛ)'!$G$29+$D120*'Коэффициенты (БЛ)'!$G$30+$D119*'Коэффициенты (БЛ)'!$G$31+$D118*'Коэффициенты (БЛ)'!$G$32+$D117*'Коэффициенты (БЛ)'!$G$33+$D116*'Коэффициенты (БЛ)'!$G$34+$D115*'Коэффициенты (БЛ)'!$G$35+$D114*'Коэффициенты (БЛ)'!$G$36+$D113*'Коэффициенты (БЛ)'!$G$37+$D112*'Коэффициенты (БЛ)'!$G$38+$D111*'Коэффициенты (БЛ)'!$G$39+$D110*'Коэффициенты (БЛ)'!$G$40+$D109*'Коэффициенты (БЛ)'!$G$41+$D108*'Коэффициенты (БЛ)'!$G$42+$D107*'Коэффициенты (БЛ)'!$G$43+$D106*'Коэффициенты (БЛ)'!$G$44+$D105*'Коэффициенты (БЛ)'!$G$45+$D104*'Коэффициенты (БЛ)'!$G$46+$D103*'Коэффициенты (БЛ)'!$G$47+$D102*'Коэффициенты (БЛ)'!$G$48+$D101*'Коэффициенты (БЛ)'!$G$49+$D100*'Коэффициенты (БЛ)'!$G$50+$D99*'Коэффициенты (БЛ)'!$G$51+$D98*'Коэффициенты (БЛ)'!$G$52+$D97*'Коэффициенты (БЛ)'!$G$53+$D96*'Коэффициенты (БЛ)'!$G$54+$D95*'Коэффициенты (БЛ)'!$G$55+$D94*'Коэффициенты (БЛ)'!$G$56+$D93*'Коэффициенты (БЛ)'!$G$57+$D92*'Коэффициенты (БЛ)'!$G$58+$D91*'Коэффициенты (БЛ)'!$G$59+$D90*'Коэффициенты (БЛ)'!$G$60+$D89*'Коэффициенты (БЛ)'!$G$61+$D88*'Коэффициенты (БЛ)'!$G$62+$D87*'Коэффициенты (БЛ)'!$G$63+$D86*'Коэффициенты (БЛ)'!$G$64+$D85*'Коэффициенты (БЛ)'!$G$65+$D84*'Коэффициенты (БЛ)'!$G$66</f>
        <v>54.792699958600551</v>
      </c>
      <c r="G144" s="43">
        <v>1</v>
      </c>
      <c r="H144" s="43">
        <f t="shared" si="8"/>
        <v>2093.6261257396727</v>
      </c>
      <c r="I144" s="43">
        <f t="shared" si="9"/>
        <v>54.792699958600551</v>
      </c>
    </row>
    <row r="145" spans="2:9" ht="18" customHeight="1" x14ac:dyDescent="0.35">
      <c r="B145" s="49"/>
      <c r="C145" s="36">
        <v>6</v>
      </c>
      <c r="D145" s="37">
        <f>'Обработка руды'!E119</f>
        <v>0</v>
      </c>
      <c r="E145" s="37">
        <f>$D144*'Коэффициенты (ПС)'!$G$8+Расчет!$D143*'Коэффициенты (ПС)'!$G$9+$D142*'Коэффициенты (ПС)'!$G$10+$D141*'Коэффициенты (ПС)'!$G$11+$D140*'Коэффициенты (ПС)'!$G$12+$D139*'Коэффициенты (ПС)'!$G$13+$D138*'Коэффициенты (ПС)'!$G$14+$D137*'Коэффициенты (ПС)'!$G$15+$D136*'Коэффициенты (ПС)'!$G$16+$D135*'Коэффициенты (ПС)'!$G$17+$D134*'Коэффициенты (ПС)'!$G$18+$D133*'Коэффициенты (ПС)'!$G$19+$D132*'Коэффициенты (ПС)'!$G$20+$D131*'Коэффициенты (ПС)'!$G$21+$D130*'Коэффициенты (ПС)'!$G$22+$D129*'Коэффициенты (ПС)'!$G$23+$D128*'Коэффициенты (ПС)'!$G$24+$D127*'Коэффициенты (ПС)'!$G$25+$D126*'Коэффициенты (ПС)'!$G$26+$D125*'Коэффициенты (ПС)'!$G$27+$D124*'Коэффициенты (ПС)'!$G$28+$D123*'Коэффициенты (ПС)'!$G$29+$D122*'Коэффициенты (ПС)'!$G$30+$D121*'Коэффициенты (ПС)'!$G$31+$D120*'Коэффициенты (ПС)'!$G$32+$D119*'Коэффициенты (ПС)'!$G$33+$D118*'Коэффициенты (ПС)'!$G$34+$D117*'Коэффициенты (ПС)'!$G$35+$D116*'Коэффициенты (ПС)'!$G$36+$D115*'Коэффициенты (ПС)'!$G$37+$D114*'Коэффициенты (ПС)'!$G$38+$D113*'Коэффициенты (ПС)'!$G$39+$D112*'Коэффициенты (ПС)'!$G$40+$D111*'Коэффициенты (ПС)'!$G$41+$D110*'Коэффициенты (ПС)'!$G$42+$D109*'Коэффициенты (ПС)'!$G$43+$D108*'Коэффициенты (ПС)'!$G$44+$D107*'Коэффициенты (ПС)'!$G$45+$D106*'Коэффициенты (ПС)'!$G$46+$D105*'Коэффициенты (ПС)'!$G$47+$D104*'Коэффициенты (ПС)'!$G$48+$D103*'Коэффициенты (ПС)'!$G$49+$D102*'Коэффициенты (ПС)'!$G$50+$D101*'Коэффициенты (ПС)'!$G$51+$D100*'Коэффициенты (ПС)'!$G$52+$D99*'Коэффициенты (ПС)'!$G$53+$D98*'Коэффициенты (ПС)'!$G$54+$D97*'Коэффициенты (ПС)'!$G$55+$D96*'Коэффициенты (ПС)'!$G$56+$D95*'Коэффициенты (ПС)'!$G$57+$D94*'Коэффициенты (ПС)'!$G$58+$D93*'Коэффициенты (ПС)'!$G$59+$D92*'Коэффициенты (ПС)'!$G$60+$D91*'Коэффициенты (ПС)'!$G$61+$D90*'Коэффициенты (ПС)'!$G$62+$D89*'Коэффициенты (ПС)'!$G$63+$D88*'Коэффициенты (ПС)'!$G$64+$D87*'Коэффициенты (ПС)'!$G$65+$D86*'Коэффициенты (ПС)'!$G$66+$D85*'Коэффициенты (ПС)'!$G$67</f>
        <v>1942.7248632897085</v>
      </c>
      <c r="F145" s="37">
        <f>$D144*'Коэффициенты (БЛ)'!$G$7+Расчет!$D143*'Коэффициенты (БЛ)'!$G$8+$D142*'Коэффициенты (БЛ)'!$G$9+$D141*'Коэффициенты (БЛ)'!$G$10+$D140*'Коэффициенты (БЛ)'!$G$11+$D139*'Коэффициенты (БЛ)'!$G$12+$D138*'Коэффициенты (БЛ)'!$G$13+$D137*'Коэффициенты (БЛ)'!$G$14+$D136*'Коэффициенты (БЛ)'!$G$15+$D135*'Коэффициенты (БЛ)'!$G$16+$D134*'Коэффициенты (БЛ)'!$G$17+$D133*'Коэффициенты (БЛ)'!$G$18+$D132*'Коэффициенты (БЛ)'!$G$19+$D131*'Коэффициенты (БЛ)'!$G$20+$D130*'Коэффициенты (БЛ)'!$G$21+$D129*'Коэффициенты (БЛ)'!$G$22+$D128*'Коэффициенты (БЛ)'!$G$23+$D127*'Коэффициенты (БЛ)'!$G$24+$D126*'Коэффициенты (БЛ)'!$G$25+$D125*'Коэффициенты (БЛ)'!$G$26+$D124*'Коэффициенты (БЛ)'!$G$27+$D123*'Коэффициенты (БЛ)'!$G$28+$D122*'Коэффициенты (БЛ)'!$G$29+$D121*'Коэффициенты (БЛ)'!$G$30+$D120*'Коэффициенты (БЛ)'!$G$31+$D119*'Коэффициенты (БЛ)'!$G$32+$D118*'Коэффициенты (БЛ)'!$G$33+$D117*'Коэффициенты (БЛ)'!$G$34+$D116*'Коэффициенты (БЛ)'!$G$35+$D115*'Коэффициенты (БЛ)'!$G$36+$D114*'Коэффициенты (БЛ)'!$G$37+$D113*'Коэффициенты (БЛ)'!$G$38+$D112*'Коэффициенты (БЛ)'!$G$39+$D111*'Коэффициенты (БЛ)'!$G$40+$D110*'Коэффициенты (БЛ)'!$G$41+$D109*'Коэффициенты (БЛ)'!$G$42+$D108*'Коэффициенты (БЛ)'!$G$43+$D107*'Коэффициенты (БЛ)'!$G$44+$D106*'Коэффициенты (БЛ)'!$G$45+$D105*'Коэффициенты (БЛ)'!$G$46+$D104*'Коэффициенты (БЛ)'!$G$47+$D103*'Коэффициенты (БЛ)'!$G$48+$D102*'Коэффициенты (БЛ)'!$G$49+$D101*'Коэффициенты (БЛ)'!$G$50+$D100*'Коэффициенты (БЛ)'!$G$51+$D99*'Коэффициенты (БЛ)'!$G$52+$D98*'Коэффициенты (БЛ)'!$G$53+$D97*'Коэффициенты (БЛ)'!$G$54+$D96*'Коэффициенты (БЛ)'!$G$55+$D95*'Коэффициенты (БЛ)'!$G$56+$D94*'Коэффициенты (БЛ)'!$G$57+$D93*'Коэффициенты (БЛ)'!$G$58+$D92*'Коэффициенты (БЛ)'!$G$59+$D91*'Коэффициенты (БЛ)'!$G$60+$D90*'Коэффициенты (БЛ)'!$G$61+$D89*'Коэффициенты (БЛ)'!$G$62+$D88*'Коэффициенты (БЛ)'!$G$63+$D87*'Коэффициенты (БЛ)'!$G$64+$D86*'Коэффициенты (БЛ)'!$G$65+$D85*'Коэффициенты (БЛ)'!$G$66</f>
        <v>50.843433422831886</v>
      </c>
      <c r="G145" s="43">
        <v>1</v>
      </c>
      <c r="H145" s="43">
        <f t="shared" si="8"/>
        <v>1942.7248632897085</v>
      </c>
      <c r="I145" s="43">
        <f t="shared" si="9"/>
        <v>50.843433422831886</v>
      </c>
    </row>
    <row r="146" spans="2:9" ht="18" customHeight="1" x14ac:dyDescent="0.35">
      <c r="B146" s="49"/>
      <c r="C146" s="36">
        <v>7</v>
      </c>
      <c r="D146" s="37">
        <f>'Обработка руды'!E120</f>
        <v>0</v>
      </c>
      <c r="E146" s="37">
        <f>$D145*'Коэффициенты (ПС)'!$G$8+Расчет!$D144*'Коэффициенты (ПС)'!$G$9+$D143*'Коэффициенты (ПС)'!$G$10+$D142*'Коэффициенты (ПС)'!$G$11+$D141*'Коэффициенты (ПС)'!$G$12+$D140*'Коэффициенты (ПС)'!$G$13+$D139*'Коэффициенты (ПС)'!$G$14+$D138*'Коэффициенты (ПС)'!$G$15+$D137*'Коэффициенты (ПС)'!$G$16+$D136*'Коэффициенты (ПС)'!$G$17+$D135*'Коэффициенты (ПС)'!$G$18+$D134*'Коэффициенты (ПС)'!$G$19+$D133*'Коэффициенты (ПС)'!$G$20+$D132*'Коэффициенты (ПС)'!$G$21+$D131*'Коэффициенты (ПС)'!$G$22+$D130*'Коэффициенты (ПС)'!$G$23+$D129*'Коэффициенты (ПС)'!$G$24+$D128*'Коэффициенты (ПС)'!$G$25+$D127*'Коэффициенты (ПС)'!$G$26+$D126*'Коэффициенты (ПС)'!$G$27+$D125*'Коэффициенты (ПС)'!$G$28+$D124*'Коэффициенты (ПС)'!$G$29+$D123*'Коэффициенты (ПС)'!$G$30+$D122*'Коэффициенты (ПС)'!$G$31+$D121*'Коэффициенты (ПС)'!$G$32+$D120*'Коэффициенты (ПС)'!$G$33+$D119*'Коэффициенты (ПС)'!$G$34+$D118*'Коэффициенты (ПС)'!$G$35+$D117*'Коэффициенты (ПС)'!$G$36+$D116*'Коэффициенты (ПС)'!$G$37+$D115*'Коэффициенты (ПС)'!$G$38+$D114*'Коэффициенты (ПС)'!$G$39+$D113*'Коэффициенты (ПС)'!$G$40+$D112*'Коэффициенты (ПС)'!$G$41+$D111*'Коэффициенты (ПС)'!$G$42+$D110*'Коэффициенты (ПС)'!$G$43+$D109*'Коэффициенты (ПС)'!$G$44+$D108*'Коэффициенты (ПС)'!$G$45+$D107*'Коэффициенты (ПС)'!$G$46+$D106*'Коэффициенты (ПС)'!$G$47+$D105*'Коэффициенты (ПС)'!$G$48+$D104*'Коэффициенты (ПС)'!$G$49+$D103*'Коэффициенты (ПС)'!$G$50+$D102*'Коэффициенты (ПС)'!$G$51+$D101*'Коэффициенты (ПС)'!$G$52+$D100*'Коэффициенты (ПС)'!$G$53+$D99*'Коэффициенты (ПС)'!$G$54+$D98*'Коэффициенты (ПС)'!$G$55+$D97*'Коэффициенты (ПС)'!$G$56+$D96*'Коэффициенты (ПС)'!$G$57+$D95*'Коэффициенты (ПС)'!$G$58+$D94*'Коэффициенты (ПС)'!$G$59+$D93*'Коэффициенты (ПС)'!$G$60+$D92*'Коэффициенты (ПС)'!$G$61+$D91*'Коэффициенты (ПС)'!$G$62+$D90*'Коэффициенты (ПС)'!$G$63+$D89*'Коэффициенты (ПС)'!$G$64+$D88*'Коэффициенты (ПС)'!$G$65+$D87*'Коэффициенты (ПС)'!$G$66+$D86*'Коэффициенты (ПС)'!$G$67</f>
        <v>1901.8342849389182</v>
      </c>
      <c r="F146" s="37">
        <f>$D145*'Коэффициенты (БЛ)'!$G$7+Расчет!$D144*'Коэффициенты (БЛ)'!$G$8+$D143*'Коэффициенты (БЛ)'!$G$9+$D142*'Коэффициенты (БЛ)'!$G$10+$D141*'Коэффициенты (БЛ)'!$G$11+$D140*'Коэффициенты (БЛ)'!$G$12+$D139*'Коэффициенты (БЛ)'!$G$13+$D138*'Коэффициенты (БЛ)'!$G$14+$D137*'Коэффициенты (БЛ)'!$G$15+$D136*'Коэффициенты (БЛ)'!$G$16+$D135*'Коэффициенты (БЛ)'!$G$17+$D134*'Коэффициенты (БЛ)'!$G$18+$D133*'Коэффициенты (БЛ)'!$G$19+$D132*'Коэффициенты (БЛ)'!$G$20+$D131*'Коэффициенты (БЛ)'!$G$21+$D130*'Коэффициенты (БЛ)'!$G$22+$D129*'Коэффициенты (БЛ)'!$G$23+$D128*'Коэффициенты (БЛ)'!$G$24+$D127*'Коэффициенты (БЛ)'!$G$25+$D126*'Коэффициенты (БЛ)'!$G$26+$D125*'Коэффициенты (БЛ)'!$G$27+$D124*'Коэффициенты (БЛ)'!$G$28+$D123*'Коэффициенты (БЛ)'!$G$29+$D122*'Коэффициенты (БЛ)'!$G$30+$D121*'Коэффициенты (БЛ)'!$G$31+$D120*'Коэффициенты (БЛ)'!$G$32+$D119*'Коэффициенты (БЛ)'!$G$33+$D118*'Коэффициенты (БЛ)'!$G$34+$D117*'Коэффициенты (БЛ)'!$G$35+$D116*'Коэффициенты (БЛ)'!$G$36+$D115*'Коэффициенты (БЛ)'!$G$37+$D114*'Коэффициенты (БЛ)'!$G$38+$D113*'Коэффициенты (БЛ)'!$G$39+$D112*'Коэффициенты (БЛ)'!$G$40+$D111*'Коэффициенты (БЛ)'!$G$41+$D110*'Коэффициенты (БЛ)'!$G$42+$D109*'Коэффициенты (БЛ)'!$G$43+$D108*'Коэффициенты (БЛ)'!$G$44+$D107*'Коэффициенты (БЛ)'!$G$45+$D106*'Коэффициенты (БЛ)'!$G$46+$D105*'Коэффициенты (БЛ)'!$G$47+$D104*'Коэффициенты (БЛ)'!$G$48+$D103*'Коэффициенты (БЛ)'!$G$49+$D102*'Коэффициенты (БЛ)'!$G$50+$D101*'Коэффициенты (БЛ)'!$G$51+$D100*'Коэффициенты (БЛ)'!$G$52+$D99*'Коэффициенты (БЛ)'!$G$53+$D98*'Коэффициенты (БЛ)'!$G$54+$D97*'Коэффициенты (БЛ)'!$G$55+$D96*'Коэффициенты (БЛ)'!$G$56+$D95*'Коэффициенты (БЛ)'!$G$57+$D94*'Коэффициенты (БЛ)'!$G$58+$D93*'Коэффициенты (БЛ)'!$G$59+$D92*'Коэффициенты (БЛ)'!$G$60+$D91*'Коэффициенты (БЛ)'!$G$61+$D90*'Коэффициенты (БЛ)'!$G$62+$D89*'Коэффициенты (БЛ)'!$G$63+$D88*'Коэффициенты (БЛ)'!$G$64+$D87*'Коэффициенты (БЛ)'!$G$65+$D86*'Коэффициенты (БЛ)'!$G$66</f>
        <v>49.773278076964132</v>
      </c>
      <c r="G146" s="43">
        <v>1</v>
      </c>
      <c r="H146" s="43">
        <f t="shared" si="8"/>
        <v>1901.8342849389182</v>
      </c>
      <c r="I146" s="43">
        <f t="shared" si="9"/>
        <v>49.773278076964132</v>
      </c>
    </row>
    <row r="147" spans="2:9" ht="18" customHeight="1" x14ac:dyDescent="0.35">
      <c r="B147" s="49"/>
      <c r="C147" s="36">
        <v>8</v>
      </c>
      <c r="D147" s="37">
        <f>'Обработка руды'!E121</f>
        <v>0</v>
      </c>
      <c r="E147" s="37">
        <f>$D146*'Коэффициенты (ПС)'!$G$8+Расчет!$D145*'Коэффициенты (ПС)'!$G$9+$D144*'Коэффициенты (ПС)'!$G$10+$D143*'Коэффициенты (ПС)'!$G$11+$D142*'Коэффициенты (ПС)'!$G$12+$D141*'Коэффициенты (ПС)'!$G$13+$D140*'Коэффициенты (ПС)'!$G$14+$D139*'Коэффициенты (ПС)'!$G$15+$D138*'Коэффициенты (ПС)'!$G$16+$D137*'Коэффициенты (ПС)'!$G$17+$D136*'Коэффициенты (ПС)'!$G$18+$D135*'Коэффициенты (ПС)'!$G$19+$D134*'Коэффициенты (ПС)'!$G$20+$D133*'Коэффициенты (ПС)'!$G$21+$D132*'Коэффициенты (ПС)'!$G$22+$D131*'Коэффициенты (ПС)'!$G$23+$D130*'Коэффициенты (ПС)'!$G$24+$D129*'Коэффициенты (ПС)'!$G$25+$D128*'Коэффициенты (ПС)'!$G$26+$D127*'Коэффициенты (ПС)'!$G$27+$D126*'Коэффициенты (ПС)'!$G$28+$D125*'Коэффициенты (ПС)'!$G$29+$D124*'Коэффициенты (ПС)'!$G$30+$D123*'Коэффициенты (ПС)'!$G$31+$D122*'Коэффициенты (ПС)'!$G$32+$D121*'Коэффициенты (ПС)'!$G$33+$D120*'Коэффициенты (ПС)'!$G$34+$D119*'Коэффициенты (ПС)'!$G$35+$D118*'Коэффициенты (ПС)'!$G$36+$D117*'Коэффициенты (ПС)'!$G$37+$D116*'Коэффициенты (ПС)'!$G$38+$D115*'Коэффициенты (ПС)'!$G$39+$D114*'Коэффициенты (ПС)'!$G$40+$D113*'Коэффициенты (ПС)'!$G$41+$D112*'Коэффициенты (ПС)'!$G$42+$D111*'Коэффициенты (ПС)'!$G$43+$D110*'Коэффициенты (ПС)'!$G$44+$D109*'Коэффициенты (ПС)'!$G$45+$D108*'Коэффициенты (ПС)'!$G$46+$D107*'Коэффициенты (ПС)'!$G$47+$D106*'Коэффициенты (ПС)'!$G$48+$D105*'Коэффициенты (ПС)'!$G$49+$D104*'Коэффициенты (ПС)'!$G$50+$D103*'Коэффициенты (ПС)'!$G$51+$D102*'Коэффициенты (ПС)'!$G$52+$D101*'Коэффициенты (ПС)'!$G$53+$D100*'Коэффициенты (ПС)'!$G$54+$D99*'Коэффициенты (ПС)'!$G$55+$D98*'Коэффициенты (ПС)'!$G$56+$D97*'Коэффициенты (ПС)'!$G$57+$D96*'Коэффициенты (ПС)'!$G$58+$D95*'Коэффициенты (ПС)'!$G$59+$D94*'Коэффициенты (ПС)'!$G$60+$D93*'Коэффициенты (ПС)'!$G$61+$D92*'Коэффициенты (ПС)'!$G$62+$D91*'Коэффициенты (ПС)'!$G$63+$D90*'Коэффициенты (ПС)'!$G$64+$D89*'Коэффициенты (ПС)'!$G$65+$D88*'Коэффициенты (ПС)'!$G$66+$D87*'Коэффициенты (ПС)'!$G$67</f>
        <v>1800.3215373364721</v>
      </c>
      <c r="F147" s="37">
        <f>$D146*'Коэффициенты (БЛ)'!$G$7+Расчет!$D145*'Коэффициенты (БЛ)'!$G$8+$D144*'Коэффициенты (БЛ)'!$G$9+$D143*'Коэффициенты (БЛ)'!$G$10+$D142*'Коэффициенты (БЛ)'!$G$11+$D141*'Коэффициенты (БЛ)'!$G$12+$D140*'Коэффициенты (БЛ)'!$G$13+$D139*'Коэффициенты (БЛ)'!$G$14+$D138*'Коэффициенты (БЛ)'!$G$15+$D137*'Коэффициенты (БЛ)'!$G$16+$D136*'Коэффициенты (БЛ)'!$G$17+$D135*'Коэффициенты (БЛ)'!$G$18+$D134*'Коэффициенты (БЛ)'!$G$19+$D133*'Коэффициенты (БЛ)'!$G$20+$D132*'Коэффициенты (БЛ)'!$G$21+$D131*'Коэффициенты (БЛ)'!$G$22+$D130*'Коэффициенты (БЛ)'!$G$23+$D129*'Коэффициенты (БЛ)'!$G$24+$D128*'Коэффициенты (БЛ)'!$G$25+$D127*'Коэффициенты (БЛ)'!$G$26+$D126*'Коэффициенты (БЛ)'!$G$27+$D125*'Коэффициенты (БЛ)'!$G$28+$D124*'Коэффициенты (БЛ)'!$G$29+$D123*'Коэффициенты (БЛ)'!$G$30+$D122*'Коэффициенты (БЛ)'!$G$31+$D121*'Коэффициенты (БЛ)'!$G$32+$D120*'Коэффициенты (БЛ)'!$G$33+$D119*'Коэффициенты (БЛ)'!$G$34+$D118*'Коэффициенты (БЛ)'!$G$35+$D117*'Коэффициенты (БЛ)'!$G$36+$D116*'Коэффициенты (БЛ)'!$G$37+$D115*'Коэффициенты (БЛ)'!$G$38+$D114*'Коэффициенты (БЛ)'!$G$39+$D113*'Коэффициенты (БЛ)'!$G$40+$D112*'Коэффициенты (БЛ)'!$G$41+$D111*'Коэффициенты (БЛ)'!$G$42+$D110*'Коэффициенты (БЛ)'!$G$43+$D109*'Коэффициенты (БЛ)'!$G$44+$D108*'Коэффициенты (БЛ)'!$G$45+$D107*'Коэффициенты (БЛ)'!$G$46+$D106*'Коэффициенты (БЛ)'!$G$47+$D105*'Коэффициенты (БЛ)'!$G$48+$D104*'Коэффициенты (БЛ)'!$G$49+$D103*'Коэффициенты (БЛ)'!$G$50+$D102*'Коэффициенты (БЛ)'!$G$51+$D101*'Коэффициенты (БЛ)'!$G$52+$D100*'Коэффициенты (БЛ)'!$G$53+$D99*'Коэффициенты (БЛ)'!$G$54+$D98*'Коэффициенты (БЛ)'!$G$55+$D97*'Коэффициенты (БЛ)'!$G$56+$D96*'Коэффициенты (БЛ)'!$G$57+$D95*'Коэффициенты (БЛ)'!$G$58+$D94*'Коэффициенты (БЛ)'!$G$59+$D93*'Коэффициенты (БЛ)'!$G$60+$D92*'Коэффициенты (БЛ)'!$G$61+$D91*'Коэффициенты (БЛ)'!$G$62+$D90*'Коэффициенты (БЛ)'!$G$63+$D89*'Коэффициенты (БЛ)'!$G$64+$D88*'Коэффициенты (БЛ)'!$G$65+$D87*'Коэффициенты (БЛ)'!$G$66</f>
        <v>47.116568049815037</v>
      </c>
      <c r="G147" s="43">
        <v>1</v>
      </c>
      <c r="H147" s="43">
        <f t="shared" si="8"/>
        <v>1800.3215373364721</v>
      </c>
      <c r="I147" s="43">
        <f t="shared" si="9"/>
        <v>47.116568049815037</v>
      </c>
    </row>
    <row r="148" spans="2:9" ht="18" customHeight="1" x14ac:dyDescent="0.35">
      <c r="B148" s="49"/>
      <c r="C148" s="36">
        <v>9</v>
      </c>
      <c r="D148" s="37">
        <f>'Обработка руды'!E122</f>
        <v>0</v>
      </c>
      <c r="E148" s="37">
        <f>$D147*'Коэффициенты (ПС)'!$G$8+Расчет!$D146*'Коэффициенты (ПС)'!$G$9+$D145*'Коэффициенты (ПС)'!$G$10+$D144*'Коэффициенты (ПС)'!$G$11+$D143*'Коэффициенты (ПС)'!$G$12+$D142*'Коэффициенты (ПС)'!$G$13+$D141*'Коэффициенты (ПС)'!$G$14+$D140*'Коэффициенты (ПС)'!$G$15+$D139*'Коэффициенты (ПС)'!$G$16+$D138*'Коэффициенты (ПС)'!$G$17+$D137*'Коэффициенты (ПС)'!$G$18+$D136*'Коэффициенты (ПС)'!$G$19+$D135*'Коэффициенты (ПС)'!$G$20+$D134*'Коэффициенты (ПС)'!$G$21+$D133*'Коэффициенты (ПС)'!$G$22+$D132*'Коэффициенты (ПС)'!$G$23+$D131*'Коэффициенты (ПС)'!$G$24+$D130*'Коэффициенты (ПС)'!$G$25+$D129*'Коэффициенты (ПС)'!$G$26+$D128*'Коэффициенты (ПС)'!$G$27+$D127*'Коэффициенты (ПС)'!$G$28+$D126*'Коэффициенты (ПС)'!$G$29+$D125*'Коэффициенты (ПС)'!$G$30+$D124*'Коэффициенты (ПС)'!$G$31+$D123*'Коэффициенты (ПС)'!$G$32+$D122*'Коэффициенты (ПС)'!$G$33+$D121*'Коэффициенты (ПС)'!$G$34+$D120*'Коэффициенты (ПС)'!$G$35+$D119*'Коэффициенты (ПС)'!$G$36+$D118*'Коэффициенты (ПС)'!$G$37+$D117*'Коэффициенты (ПС)'!$G$38+$D116*'Коэффициенты (ПС)'!$G$39+$D115*'Коэффициенты (ПС)'!$G$40+$D114*'Коэффициенты (ПС)'!$G$41+$D113*'Коэффициенты (ПС)'!$G$42+$D112*'Коэффициенты (ПС)'!$G$43+$D111*'Коэффициенты (ПС)'!$G$44+$D110*'Коэффициенты (ПС)'!$G$45+$D109*'Коэффициенты (ПС)'!$G$46+$D108*'Коэффициенты (ПС)'!$G$47+$D107*'Коэффициенты (ПС)'!$G$48+$D106*'Коэффициенты (ПС)'!$G$49+$D105*'Коэффициенты (ПС)'!$G$50+$D104*'Коэффициенты (ПС)'!$G$51+$D103*'Коэффициенты (ПС)'!$G$52+$D102*'Коэффициенты (ПС)'!$G$53+$D101*'Коэффициенты (ПС)'!$G$54+$D100*'Коэффициенты (ПС)'!$G$55+$D99*'Коэффициенты (ПС)'!$G$56+$D98*'Коэффициенты (ПС)'!$G$57+$D97*'Коэффициенты (ПС)'!$G$58+$D96*'Коэффициенты (ПС)'!$G$59+$D95*'Коэффициенты (ПС)'!$G$60+$D94*'Коэффициенты (ПС)'!$G$61+$D93*'Коэффициенты (ПС)'!$G$62+$D92*'Коэффициенты (ПС)'!$G$63+$D91*'Коэффициенты (ПС)'!$G$64+$D90*'Коэффициенты (ПС)'!$G$65+$D89*'Коэффициенты (ПС)'!$G$66+$D88*'Коэффициенты (ПС)'!$G$67</f>
        <v>1739.4208344587578</v>
      </c>
      <c r="F148" s="37">
        <f>$D147*'Коэффициенты (БЛ)'!$G$7+Расчет!$D146*'Коэффициенты (БЛ)'!$G$8+$D145*'Коэффициенты (БЛ)'!$G$9+$D144*'Коэффициенты (БЛ)'!$G$10+$D143*'Коэффициенты (БЛ)'!$G$11+$D142*'Коэффициенты (БЛ)'!$G$12+$D141*'Коэффициенты (БЛ)'!$G$13+$D140*'Коэффициенты (БЛ)'!$G$14+$D139*'Коэффициенты (БЛ)'!$G$15+$D138*'Коэффициенты (БЛ)'!$G$16+$D137*'Коэффициенты (БЛ)'!$G$17+$D136*'Коэффициенты (БЛ)'!$G$18+$D135*'Коэффициенты (БЛ)'!$G$19+$D134*'Коэффициенты (БЛ)'!$G$20+$D133*'Коэффициенты (БЛ)'!$G$21+$D132*'Коэффициенты (БЛ)'!$G$22+$D131*'Коэффициенты (БЛ)'!$G$23+$D130*'Коэффициенты (БЛ)'!$G$24+$D129*'Коэффициенты (БЛ)'!$G$25+$D128*'Коэффициенты (БЛ)'!$G$26+$D127*'Коэффициенты (БЛ)'!$G$27+$D126*'Коэффициенты (БЛ)'!$G$28+$D125*'Коэффициенты (БЛ)'!$G$29+$D124*'Коэффициенты (БЛ)'!$G$30+$D123*'Коэффициенты (БЛ)'!$G$31+$D122*'Коэффициенты (БЛ)'!$G$32+$D121*'Коэффициенты (БЛ)'!$G$33+$D120*'Коэффициенты (БЛ)'!$G$34+$D119*'Коэффициенты (БЛ)'!$G$35+$D118*'Коэффициенты (БЛ)'!$G$36+$D117*'Коэффициенты (БЛ)'!$G$37+$D116*'Коэффициенты (БЛ)'!$G$38+$D115*'Коэффициенты (БЛ)'!$G$39+$D114*'Коэффициенты (БЛ)'!$G$40+$D113*'Коэффициенты (БЛ)'!$G$41+$D112*'Коэффициенты (БЛ)'!$G$42+$D111*'Коэффициенты (БЛ)'!$G$43+$D110*'Коэффициенты (БЛ)'!$G$44+$D109*'Коэффициенты (БЛ)'!$G$45+$D108*'Коэффициенты (БЛ)'!$G$46+$D107*'Коэффициенты (БЛ)'!$G$47+$D106*'Коэффициенты (БЛ)'!$G$48+$D105*'Коэффициенты (БЛ)'!$G$49+$D104*'Коэффициенты (БЛ)'!$G$50+$D103*'Коэффициенты (БЛ)'!$G$51+$D102*'Коэффициенты (БЛ)'!$G$52+$D101*'Коэффициенты (БЛ)'!$G$53+$D100*'Коэффициенты (БЛ)'!$G$54+$D99*'Коэффициенты (БЛ)'!$G$55+$D98*'Коэффициенты (БЛ)'!$G$56+$D97*'Коэффициенты (БЛ)'!$G$57+$D96*'Коэффициенты (БЛ)'!$G$58+$D95*'Коэффициенты (БЛ)'!$G$59+$D94*'Коэффициенты (БЛ)'!$G$60+$D93*'Коэффициенты (БЛ)'!$G$61+$D92*'Коэффициенты (БЛ)'!$G$62+$D91*'Коэффициенты (БЛ)'!$G$63+$D90*'Коэффициенты (БЛ)'!$G$64+$D89*'Коэффициенты (БЛ)'!$G$65+$D88*'Коэффициенты (БЛ)'!$G$66</f>
        <v>45.522723810377265</v>
      </c>
      <c r="G148" s="43">
        <v>1</v>
      </c>
      <c r="H148" s="43">
        <f t="shared" si="8"/>
        <v>1739.4208344587578</v>
      </c>
      <c r="I148" s="43">
        <f t="shared" si="9"/>
        <v>45.522723810377265</v>
      </c>
    </row>
    <row r="149" spans="2:9" ht="18" customHeight="1" x14ac:dyDescent="0.35">
      <c r="B149" s="49"/>
      <c r="C149" s="36">
        <v>10</v>
      </c>
      <c r="D149" s="37">
        <f>'Обработка руды'!E123</f>
        <v>0</v>
      </c>
      <c r="E149" s="37">
        <f>$D148*'Коэффициенты (ПС)'!$G$8+Расчет!$D147*'Коэффициенты (ПС)'!$G$9+$D146*'Коэффициенты (ПС)'!$G$10+$D145*'Коэффициенты (ПС)'!$G$11+$D144*'Коэффициенты (ПС)'!$G$12+$D143*'Коэффициенты (ПС)'!$G$13+$D142*'Коэффициенты (ПС)'!$G$14+$D141*'Коэффициенты (ПС)'!$G$15+$D140*'Коэффициенты (ПС)'!$G$16+$D139*'Коэффициенты (ПС)'!$G$17+$D138*'Коэффициенты (ПС)'!$G$18+$D137*'Коэффициенты (ПС)'!$G$19+$D136*'Коэффициенты (ПС)'!$G$20+$D135*'Коэффициенты (ПС)'!$G$21+$D134*'Коэффициенты (ПС)'!$G$22+$D133*'Коэффициенты (ПС)'!$G$23+$D132*'Коэффициенты (ПС)'!$G$24+$D131*'Коэффициенты (ПС)'!$G$25+$D130*'Коэффициенты (ПС)'!$G$26+$D129*'Коэффициенты (ПС)'!$G$27+$D128*'Коэффициенты (ПС)'!$G$28+$D127*'Коэффициенты (ПС)'!$G$29+$D126*'Коэффициенты (ПС)'!$G$30+$D125*'Коэффициенты (ПС)'!$G$31+$D124*'Коэффициенты (ПС)'!$G$32+$D123*'Коэффициенты (ПС)'!$G$33+$D122*'Коэффициенты (ПС)'!$G$34+$D121*'Коэффициенты (ПС)'!$G$35+$D120*'Коэффициенты (ПС)'!$G$36+$D119*'Коэффициенты (ПС)'!$G$37+$D118*'Коэффициенты (ПС)'!$G$38+$D117*'Коэффициенты (ПС)'!$G$39+$D116*'Коэффициенты (ПС)'!$G$40+$D115*'Коэффициенты (ПС)'!$G$41+$D114*'Коэффициенты (ПС)'!$G$42+$D113*'Коэффициенты (ПС)'!$G$43+$D112*'Коэффициенты (ПС)'!$G$44+$D111*'Коэффициенты (ПС)'!$G$45+$D110*'Коэффициенты (ПС)'!$G$46+$D109*'Коэффициенты (ПС)'!$G$47+$D108*'Коэффициенты (ПС)'!$G$48+$D107*'Коэффициенты (ПС)'!$G$49+$D106*'Коэффициенты (ПС)'!$G$50+$D105*'Коэффициенты (ПС)'!$G$51+$D104*'Коэффициенты (ПС)'!$G$52+$D103*'Коэффициенты (ПС)'!$G$53+$D102*'Коэффициенты (ПС)'!$G$54+$D101*'Коэффициенты (ПС)'!$G$55+$D100*'Коэффициенты (ПС)'!$G$56+$D99*'Коэффициенты (ПС)'!$G$57+$D98*'Коэффициенты (ПС)'!$G$58+$D97*'Коэффициенты (ПС)'!$G$59+$D96*'Коэффициенты (ПС)'!$G$60+$D95*'Коэффициенты (ПС)'!$G$61+$D94*'Коэффициенты (ПС)'!$G$62+$D93*'Коэффициенты (ПС)'!$G$63+$D92*'Коэффициенты (ПС)'!$G$64+$D91*'Коэффициенты (ПС)'!$G$65+$D90*'Коэффициенты (ПС)'!$G$66+$D89*'Коэффициенты (ПС)'!$G$67</f>
        <v>1702.38183790834</v>
      </c>
      <c r="F149" s="37">
        <f>$D148*'Коэффициенты (БЛ)'!$G$7+Расчет!$D147*'Коэффициенты (БЛ)'!$G$8+$D146*'Коэффициенты (БЛ)'!$G$9+$D145*'Коэффициенты (БЛ)'!$G$10+$D144*'Коэффициенты (БЛ)'!$G$11+$D143*'Коэффициенты (БЛ)'!$G$12+$D142*'Коэффициенты (БЛ)'!$G$13+$D141*'Коэффициенты (БЛ)'!$G$14+$D140*'Коэффициенты (БЛ)'!$G$15+$D139*'Коэффициенты (БЛ)'!$G$16+$D138*'Коэффициенты (БЛ)'!$G$17+$D137*'Коэффициенты (БЛ)'!$G$18+$D136*'Коэффициенты (БЛ)'!$G$19+$D135*'Коэффициенты (БЛ)'!$G$20+$D134*'Коэффициенты (БЛ)'!$G$21+$D133*'Коэффициенты (БЛ)'!$G$22+$D132*'Коэффициенты (БЛ)'!$G$23+$D131*'Коэффициенты (БЛ)'!$G$24+$D130*'Коэффициенты (БЛ)'!$G$25+$D129*'Коэффициенты (БЛ)'!$G$26+$D128*'Коэффициенты (БЛ)'!$G$27+$D127*'Коэффициенты (БЛ)'!$G$28+$D126*'Коэффициенты (БЛ)'!$G$29+$D125*'Коэффициенты (БЛ)'!$G$30+$D124*'Коэффициенты (БЛ)'!$G$31+$D123*'Коэффициенты (БЛ)'!$G$32+$D122*'Коэффициенты (БЛ)'!$G$33+$D121*'Коэффициенты (БЛ)'!$G$34+$D120*'Коэффициенты (БЛ)'!$G$35+$D119*'Коэффициенты (БЛ)'!$G$36+$D118*'Коэффициенты (БЛ)'!$G$37+$D117*'Коэффициенты (БЛ)'!$G$38+$D116*'Коэффициенты (БЛ)'!$G$39+$D115*'Коэффициенты (БЛ)'!$G$40+$D114*'Коэффициенты (БЛ)'!$G$41+$D113*'Коэффициенты (БЛ)'!$G$42+$D112*'Коэффициенты (БЛ)'!$G$43+$D111*'Коэффициенты (БЛ)'!$G$44+$D110*'Коэффициенты (БЛ)'!$G$45+$D109*'Коэффициенты (БЛ)'!$G$46+$D108*'Коэффициенты (БЛ)'!$G$47+$D107*'Коэффициенты (БЛ)'!$G$48+$D106*'Коэффициенты (БЛ)'!$G$49+$D105*'Коэффициенты (БЛ)'!$G$50+$D104*'Коэффициенты (БЛ)'!$G$51+$D103*'Коэффициенты (БЛ)'!$G$52+$D102*'Коэффициенты (БЛ)'!$G$53+$D101*'Коэффициенты (БЛ)'!$G$54+$D100*'Коэффициенты (БЛ)'!$G$55+$D99*'Коэффициенты (БЛ)'!$G$56+$D98*'Коэффициенты (БЛ)'!$G$57+$D97*'Коэффициенты (БЛ)'!$G$58+$D96*'Коэффициенты (БЛ)'!$G$59+$D95*'Коэффициенты (БЛ)'!$G$60+$D94*'Коэффициенты (БЛ)'!$G$61+$D93*'Коэффициенты (БЛ)'!$G$62+$D92*'Коэффициенты (БЛ)'!$G$63+$D91*'Коэффициенты (БЛ)'!$G$64+$D90*'Коэффициенты (БЛ)'!$G$65+$D89*'Коэффициенты (БЛ)'!$G$66</f>
        <v>44.553368967215938</v>
      </c>
      <c r="G149" s="43">
        <v>1</v>
      </c>
      <c r="H149" s="43">
        <f t="shared" si="8"/>
        <v>1702.38183790834</v>
      </c>
      <c r="I149" s="43">
        <f t="shared" si="9"/>
        <v>44.553368967215938</v>
      </c>
    </row>
    <row r="150" spans="2:9" ht="18" customHeight="1" x14ac:dyDescent="0.35">
      <c r="B150" s="49"/>
      <c r="C150" s="36">
        <v>11</v>
      </c>
      <c r="D150" s="37">
        <f>'Обработка руды'!E124</f>
        <v>76819.539739338827</v>
      </c>
      <c r="E150" s="37">
        <f>$D149*'Коэффициенты (ПС)'!$G$8+Расчет!$D148*'Коэффициенты (ПС)'!$G$9+$D147*'Коэффициенты (ПС)'!$G$10+$D146*'Коэффициенты (ПС)'!$G$11+$D145*'Коэффициенты (ПС)'!$G$12+$D144*'Коэффициенты (ПС)'!$G$13+$D143*'Коэффициенты (ПС)'!$G$14+$D142*'Коэффициенты (ПС)'!$G$15+$D141*'Коэффициенты (ПС)'!$G$16+$D140*'Коэффициенты (ПС)'!$G$17+$D139*'Коэффициенты (ПС)'!$G$18+$D138*'Коэффициенты (ПС)'!$G$19+$D137*'Коэффициенты (ПС)'!$G$20+$D136*'Коэффициенты (ПС)'!$G$21+$D135*'Коэффициенты (ПС)'!$G$22+$D134*'Коэффициенты (ПС)'!$G$23+$D133*'Коэффициенты (ПС)'!$G$24+$D132*'Коэффициенты (ПС)'!$G$25+$D131*'Коэффициенты (ПС)'!$G$26+$D130*'Коэффициенты (ПС)'!$G$27+$D129*'Коэффициенты (ПС)'!$G$28+$D128*'Коэффициенты (ПС)'!$G$29+$D127*'Коэффициенты (ПС)'!$G$30+$D126*'Коэффициенты (ПС)'!$G$31+$D125*'Коэффициенты (ПС)'!$G$32+$D124*'Коэффициенты (ПС)'!$G$33+$D123*'Коэффициенты (ПС)'!$G$34+$D122*'Коэффициенты (ПС)'!$G$35+$D121*'Коэффициенты (ПС)'!$G$36+$D120*'Коэффициенты (ПС)'!$G$37+$D119*'Коэффициенты (ПС)'!$G$38+$D118*'Коэффициенты (ПС)'!$G$39+$D117*'Коэффициенты (ПС)'!$G$40+$D116*'Коэффициенты (ПС)'!$G$41+$D115*'Коэффициенты (ПС)'!$G$42+$D114*'Коэффициенты (ПС)'!$G$43+$D113*'Коэффициенты (ПС)'!$G$44+$D112*'Коэффициенты (ПС)'!$G$45+$D111*'Коэффициенты (ПС)'!$G$46+$D110*'Коэффициенты (ПС)'!$G$47+$D109*'Коэффициенты (ПС)'!$G$48+$D108*'Коэффициенты (ПС)'!$G$49+$D107*'Коэффициенты (ПС)'!$G$50+$D106*'Коэффициенты (ПС)'!$G$51+$D105*'Коэффициенты (ПС)'!$G$52+$D104*'Коэффициенты (ПС)'!$G$53+$D103*'Коэффициенты (ПС)'!$G$54+$D102*'Коэффициенты (ПС)'!$G$55+$D101*'Коэффициенты (ПС)'!$G$56+$D100*'Коэффициенты (ПС)'!$G$57+$D99*'Коэффициенты (ПС)'!$G$58+$D98*'Коэффициенты (ПС)'!$G$59+$D97*'Коэффициенты (ПС)'!$G$60+$D96*'Коэффициенты (ПС)'!$G$61+$D95*'Коэффициенты (ПС)'!$G$62+$D94*'Коэффициенты (ПС)'!$G$63+$D93*'Коэффициенты (ПС)'!$G$64+$D92*'Коэффициенты (ПС)'!$G$65+$D91*'Коэффициенты (ПС)'!$G$66+$D90*'Коэффициенты (ПС)'!$G$67</f>
        <v>1629.6155299456505</v>
      </c>
      <c r="F150" s="37">
        <f>$D149*'Коэффициенты (БЛ)'!$G$7+Расчет!$D148*'Коэффициенты (БЛ)'!$G$8+$D147*'Коэффициенты (БЛ)'!$G$9+$D146*'Коэффициенты (БЛ)'!$G$10+$D145*'Коэффициенты (БЛ)'!$G$11+$D144*'Коэффициенты (БЛ)'!$G$12+$D143*'Коэффициенты (БЛ)'!$G$13+$D142*'Коэффициенты (БЛ)'!$G$14+$D141*'Коэффициенты (БЛ)'!$G$15+$D140*'Коэффициенты (БЛ)'!$G$16+$D139*'Коэффициенты (БЛ)'!$G$17+$D138*'Коэффициенты (БЛ)'!$G$18+$D137*'Коэффициенты (БЛ)'!$G$19+$D136*'Коэффициенты (БЛ)'!$G$20+$D135*'Коэффициенты (БЛ)'!$G$21+$D134*'Коэффициенты (БЛ)'!$G$22+$D133*'Коэффициенты (БЛ)'!$G$23+$D132*'Коэффициенты (БЛ)'!$G$24+$D131*'Коэффициенты (БЛ)'!$G$25+$D130*'Коэффициенты (БЛ)'!$G$26+$D129*'Коэффициенты (БЛ)'!$G$27+$D128*'Коэффициенты (БЛ)'!$G$28+$D127*'Коэффициенты (БЛ)'!$G$29+$D126*'Коэффициенты (БЛ)'!$G$30+$D125*'Коэффициенты (БЛ)'!$G$31+$D124*'Коэффициенты (БЛ)'!$G$32+$D123*'Коэффициенты (БЛ)'!$G$33+$D122*'Коэффициенты (БЛ)'!$G$34+$D121*'Коэффициенты (БЛ)'!$G$35+$D120*'Коэффициенты (БЛ)'!$G$36+$D119*'Коэффициенты (БЛ)'!$G$37+$D118*'Коэффициенты (БЛ)'!$G$38+$D117*'Коэффициенты (БЛ)'!$G$39+$D116*'Коэффициенты (БЛ)'!$G$40+$D115*'Коэффициенты (БЛ)'!$G$41+$D114*'Коэффициенты (БЛ)'!$G$42+$D113*'Коэффициенты (БЛ)'!$G$43+$D112*'Коэффициенты (БЛ)'!$G$44+$D111*'Коэффициенты (БЛ)'!$G$45+$D110*'Коэффициенты (БЛ)'!$G$46+$D109*'Коэффициенты (БЛ)'!$G$47+$D108*'Коэффициенты (БЛ)'!$G$48+$D107*'Коэффициенты (БЛ)'!$G$49+$D106*'Коэффициенты (БЛ)'!$G$50+$D105*'Коэффициенты (БЛ)'!$G$51+$D104*'Коэффициенты (БЛ)'!$G$52+$D103*'Коэффициенты (БЛ)'!$G$53+$D102*'Коэффициенты (БЛ)'!$G$54+$D101*'Коэффициенты (БЛ)'!$G$55+$D100*'Коэффициенты (БЛ)'!$G$56+$D99*'Коэффициенты (БЛ)'!$G$57+$D98*'Коэффициенты (БЛ)'!$G$58+$D97*'Коэффициенты (БЛ)'!$G$59+$D96*'Коэффициенты (БЛ)'!$G$60+$D95*'Коэффициенты (БЛ)'!$G$61+$D94*'Коэффициенты (БЛ)'!$G$62+$D93*'Коэффициенты (БЛ)'!$G$63+$D92*'Коэффициенты (БЛ)'!$G$64+$D91*'Коэффициенты (БЛ)'!$G$65+$D90*'Коэффициенты (БЛ)'!$G$66</f>
        <v>42.648987649904207</v>
      </c>
      <c r="G150" s="43">
        <v>1</v>
      </c>
      <c r="H150" s="43">
        <f t="shared" si="8"/>
        <v>1629.6155299456505</v>
      </c>
      <c r="I150" s="43">
        <f t="shared" si="9"/>
        <v>42.648987649904207</v>
      </c>
    </row>
    <row r="151" spans="2:9" ht="18" customHeight="1" x14ac:dyDescent="0.35">
      <c r="B151" s="49"/>
      <c r="C151" s="36">
        <v>12</v>
      </c>
      <c r="D151" s="37">
        <f>'Обработка руды'!E125</f>
        <v>154623.94537277173</v>
      </c>
      <c r="E151" s="37">
        <f>$D150*'Коэффициенты (ПС)'!$G$8+Расчет!$D149*'Коэффициенты (ПС)'!$G$9+$D148*'Коэффициенты (ПС)'!$G$10+$D147*'Коэффициенты (ПС)'!$G$11+$D146*'Коэффициенты (ПС)'!$G$12+$D145*'Коэффициенты (ПС)'!$G$13+$D144*'Коэффициенты (ПС)'!$G$14+$D143*'Коэффициенты (ПС)'!$G$15+$D142*'Коэффициенты (ПС)'!$G$16+$D141*'Коэффициенты (ПС)'!$G$17+$D140*'Коэффициенты (ПС)'!$G$18+$D139*'Коэффициенты (ПС)'!$G$19+$D138*'Коэффициенты (ПС)'!$G$20+$D137*'Коэффициенты (ПС)'!$G$21+$D136*'Коэффициенты (ПС)'!$G$22+$D135*'Коэффициенты (ПС)'!$G$23+$D134*'Коэффициенты (ПС)'!$G$24+$D133*'Коэффициенты (ПС)'!$G$25+$D132*'Коэффициенты (ПС)'!$G$26+$D131*'Коэффициенты (ПС)'!$G$27+$D130*'Коэффициенты (ПС)'!$G$28+$D129*'Коэффициенты (ПС)'!$G$29+$D128*'Коэффициенты (ПС)'!$G$30+$D127*'Коэффициенты (ПС)'!$G$31+$D126*'Коэффициенты (ПС)'!$G$32+$D125*'Коэффициенты (ПС)'!$G$33+$D124*'Коэффициенты (ПС)'!$G$34+$D123*'Коэффициенты (ПС)'!$G$35+$D122*'Коэффициенты (ПС)'!$G$36+$D121*'Коэффициенты (ПС)'!$G$37+$D120*'Коэффициенты (ПС)'!$G$38+$D119*'Коэффициенты (ПС)'!$G$39+$D118*'Коэффициенты (ПС)'!$G$40+$D117*'Коэффициенты (ПС)'!$G$41+$D116*'Коэффициенты (ПС)'!$G$42+$D115*'Коэффициенты (ПС)'!$G$43+$D114*'Коэффициенты (ПС)'!$G$44+$D113*'Коэффициенты (ПС)'!$G$45+$D112*'Коэффициенты (ПС)'!$G$46+$D111*'Коэффициенты (ПС)'!$G$47+$D110*'Коэффициенты (ПС)'!$G$48+$D109*'Коэффициенты (ПС)'!$G$49+$D108*'Коэффициенты (ПС)'!$G$50+$D107*'Коэффициенты (ПС)'!$G$51+$D106*'Коэффициенты (ПС)'!$G$52+$D105*'Коэффициенты (ПС)'!$G$53+$D104*'Коэффициенты (ПС)'!$G$54+$D103*'Коэффициенты (ПС)'!$G$55+$D102*'Коэффициенты (ПС)'!$G$56+$D101*'Коэффициенты (ПС)'!$G$57+$D100*'Коэффициенты (ПС)'!$G$58+$D99*'Коэффициенты (ПС)'!$G$59+$D98*'Коэффициенты (ПС)'!$G$60+$D97*'Коэффициенты (ПС)'!$G$61+$D96*'Коэффициенты (ПС)'!$G$62+$D95*'Коэффициенты (ПС)'!$G$63+$D94*'Коэффициенты (ПС)'!$G$64+$D93*'Коэффициенты (ПС)'!$G$65+$D92*'Коэффициенты (ПС)'!$G$66+$D91*'Коэффициенты (ПС)'!$G$67</f>
        <v>2425.0236519526738</v>
      </c>
      <c r="F151" s="37">
        <f>$D150*'Коэффициенты (БЛ)'!$G$7+Расчет!$D149*'Коэффициенты (БЛ)'!$G$8+$D148*'Коэффициенты (БЛ)'!$G$9+$D147*'Коэффициенты (БЛ)'!$G$10+$D146*'Коэффициенты (БЛ)'!$G$11+$D145*'Коэффициенты (БЛ)'!$G$12+$D144*'Коэффициенты (БЛ)'!$G$13+$D143*'Коэффициенты (БЛ)'!$G$14+$D142*'Коэффициенты (БЛ)'!$G$15+$D141*'Коэффициенты (БЛ)'!$G$16+$D140*'Коэффициенты (БЛ)'!$G$17+$D139*'Коэффициенты (БЛ)'!$G$18+$D138*'Коэффициенты (БЛ)'!$G$19+$D137*'Коэффициенты (БЛ)'!$G$20+$D136*'Коэффициенты (БЛ)'!$G$21+$D135*'Коэффициенты (БЛ)'!$G$22+$D134*'Коэффициенты (БЛ)'!$G$23+$D133*'Коэффициенты (БЛ)'!$G$24+$D132*'Коэффициенты (БЛ)'!$G$25+$D131*'Коэффициенты (БЛ)'!$G$26+$D130*'Коэффициенты (БЛ)'!$G$27+$D129*'Коэффициенты (БЛ)'!$G$28+$D128*'Коэффициенты (БЛ)'!$G$29+$D127*'Коэффициенты (БЛ)'!$G$30+$D126*'Коэффициенты (БЛ)'!$G$31+$D125*'Коэффициенты (БЛ)'!$G$32+$D124*'Коэффициенты (БЛ)'!$G$33+$D123*'Коэффициенты (БЛ)'!$G$34+$D122*'Коэффициенты (БЛ)'!$G$35+$D121*'Коэффициенты (БЛ)'!$G$36+$D120*'Коэффициенты (БЛ)'!$G$37+$D119*'Коэффициенты (БЛ)'!$G$38+$D118*'Коэффициенты (БЛ)'!$G$39+$D117*'Коэффициенты (БЛ)'!$G$40+$D116*'Коэффициенты (БЛ)'!$G$41+$D115*'Коэффициенты (БЛ)'!$G$42+$D114*'Коэффициенты (БЛ)'!$G$43+$D113*'Коэффициенты (БЛ)'!$G$44+$D112*'Коэффициенты (БЛ)'!$G$45+$D111*'Коэффициенты (БЛ)'!$G$46+$D110*'Коэффициенты (БЛ)'!$G$47+$D109*'Коэффициенты (БЛ)'!$G$48+$D108*'Коэффициенты (БЛ)'!$G$49+$D107*'Коэффициенты (БЛ)'!$G$50+$D106*'Коэффициенты (БЛ)'!$G$51+$D105*'Коэффициенты (БЛ)'!$G$52+$D104*'Коэффициенты (БЛ)'!$G$53+$D103*'Коэффициенты (БЛ)'!$G$54+$D102*'Коэффициенты (БЛ)'!$G$55+$D101*'Коэффициенты (БЛ)'!$G$56+$D100*'Коэффициенты (БЛ)'!$G$57+$D99*'Коэффициенты (БЛ)'!$G$58+$D98*'Коэффициенты (БЛ)'!$G$59+$D97*'Коэффициенты (БЛ)'!$G$60+$D96*'Коэффициенты (БЛ)'!$G$61+$D95*'Коэффициенты (БЛ)'!$G$62+$D94*'Коэффициенты (БЛ)'!$G$63+$D93*'Коэффициенты (БЛ)'!$G$64+$D92*'Коэффициенты (БЛ)'!$G$65+$D91*'Коэффициенты (БЛ)'!$G$66</f>
        <v>63.4657696139557</v>
      </c>
      <c r="G151" s="43">
        <v>1</v>
      </c>
      <c r="H151" s="43">
        <f t="shared" si="8"/>
        <v>2425.0236519526738</v>
      </c>
      <c r="I151" s="43">
        <f t="shared" si="9"/>
        <v>63.4657696139557</v>
      </c>
    </row>
    <row r="152" spans="2:9" ht="18" customHeight="1" x14ac:dyDescent="0.35">
      <c r="B152" s="49">
        <v>2036</v>
      </c>
      <c r="C152" s="36">
        <v>1</v>
      </c>
      <c r="D152" s="37">
        <f>'Обработка руды'!E126</f>
        <v>0</v>
      </c>
      <c r="E152" s="37">
        <f>$D151*'Коэффициенты (ПС)'!$G$8+Расчет!$D150*'Коэффициенты (ПС)'!$G$9+$D149*'Коэффициенты (ПС)'!$G$10+$D148*'Коэффициенты (ПС)'!$G$11+$D147*'Коэффициенты (ПС)'!$G$12+$D146*'Коэффициенты (ПС)'!$G$13+$D145*'Коэффициенты (ПС)'!$G$14+$D144*'Коэффициенты (ПС)'!$G$15+$D143*'Коэффициенты (ПС)'!$G$16+$D142*'Коэффициенты (ПС)'!$G$17+$D141*'Коэффициенты (ПС)'!$G$18+$D140*'Коэффициенты (ПС)'!$G$19+$D139*'Коэффициенты (ПС)'!$G$20+$D138*'Коэффициенты (ПС)'!$G$21+$D137*'Коэффициенты (ПС)'!$G$22+$D136*'Коэффициенты (ПС)'!$G$23+$D135*'Коэффициенты (ПС)'!$G$24+$D134*'Коэффициенты (ПС)'!$G$25+$D133*'Коэффициенты (ПС)'!$G$26+$D132*'Коэффициенты (ПС)'!$G$27+$D131*'Коэффициенты (ПС)'!$G$28+$D130*'Коэффициенты (ПС)'!$G$29+$D129*'Коэффициенты (ПС)'!$G$30+$D128*'Коэффициенты (ПС)'!$G$31+$D127*'Коэффициенты (ПС)'!$G$32+$D126*'Коэффициенты (ПС)'!$G$33+$D125*'Коэффициенты (ПС)'!$G$34+$D124*'Коэффициенты (ПС)'!$G$35+$D123*'Коэффициенты (ПС)'!$G$36+$D122*'Коэффициенты (ПС)'!$G$37+$D121*'Коэффициенты (ПС)'!$G$38+$D120*'Коэффициенты (ПС)'!$G$39+$D119*'Коэффициенты (ПС)'!$G$40+$D118*'Коэффициенты (ПС)'!$G$41+$D117*'Коэффициенты (ПС)'!$G$42+$D116*'Коэффициенты (ПС)'!$G$43+$D115*'Коэффициенты (ПС)'!$G$44+$D114*'Коэффициенты (ПС)'!$G$45+$D113*'Коэффициенты (ПС)'!$G$46+$D112*'Коэффициенты (ПС)'!$G$47+$D111*'Коэффициенты (ПС)'!$G$48+$D110*'Коэффициенты (ПС)'!$G$49+$D109*'Коэффициенты (ПС)'!$G$50+$D108*'Коэффициенты (ПС)'!$G$51+$D107*'Коэффициенты (ПС)'!$G$52+$D106*'Коэффициенты (ПС)'!$G$53+$D105*'Коэффициенты (ПС)'!$G$54+$D104*'Коэффициенты (ПС)'!$G$55+$D103*'Коэффициенты (ПС)'!$G$56+$D102*'Коэффициенты (ПС)'!$G$57+$D101*'Коэффициенты (ПС)'!$G$58+$D100*'Коэффициенты (ПС)'!$G$59+$D99*'Коэффициенты (ПС)'!$G$60+$D98*'Коэффициенты (ПС)'!$G$61+$D97*'Коэффициенты (ПС)'!$G$62+$D96*'Коэффициенты (ПС)'!$G$63+$D95*'Коэффициенты (ПС)'!$G$64+$D94*'Коэффициенты (ПС)'!$G$65+$D93*'Коэффициенты (ПС)'!$G$66+$D92*'Коэффициенты (ПС)'!$G$67</f>
        <v>3415.2163096523232</v>
      </c>
      <c r="F152" s="37">
        <f>$D151*'Коэффициенты (БЛ)'!$G$7+Расчет!$D150*'Коэффициенты (БЛ)'!$G$8+$D149*'Коэффициенты (БЛ)'!$G$9+$D148*'Коэффициенты (БЛ)'!$G$10+$D147*'Коэффициенты (БЛ)'!$G$11+$D146*'Коэффициенты (БЛ)'!$G$12+$D145*'Коэффициенты (БЛ)'!$G$13+$D144*'Коэффициенты (БЛ)'!$G$14+$D143*'Коэффициенты (БЛ)'!$G$15+$D142*'Коэффициенты (БЛ)'!$G$16+$D141*'Коэффициенты (БЛ)'!$G$17+$D140*'Коэффициенты (БЛ)'!$G$18+$D139*'Коэффициенты (БЛ)'!$G$19+$D138*'Коэффициенты (БЛ)'!$G$20+$D137*'Коэффициенты (БЛ)'!$G$21+$D136*'Коэффициенты (БЛ)'!$G$22+$D135*'Коэффициенты (БЛ)'!$G$23+$D134*'Коэффициенты (БЛ)'!$G$24+$D133*'Коэффициенты (БЛ)'!$G$25+$D132*'Коэффициенты (БЛ)'!$G$26+$D131*'Коэффициенты (БЛ)'!$G$27+$D130*'Коэффициенты (БЛ)'!$G$28+$D129*'Коэффициенты (БЛ)'!$G$29+$D128*'Коэффициенты (БЛ)'!$G$30+$D127*'Коэффициенты (БЛ)'!$G$31+$D126*'Коэффициенты (БЛ)'!$G$32+$D125*'Коэффициенты (БЛ)'!$G$33+$D124*'Коэффициенты (БЛ)'!$G$34+$D123*'Коэффициенты (БЛ)'!$G$35+$D122*'Коэффициенты (БЛ)'!$G$36+$D121*'Коэффициенты (БЛ)'!$G$37+$D120*'Коэффициенты (БЛ)'!$G$38+$D119*'Коэффициенты (БЛ)'!$G$39+$D118*'Коэффициенты (БЛ)'!$G$40+$D117*'Коэффициенты (БЛ)'!$G$41+$D116*'Коэффициенты (БЛ)'!$G$42+$D115*'Коэффициенты (БЛ)'!$G$43+$D114*'Коэффициенты (БЛ)'!$G$44+$D113*'Коэффициенты (БЛ)'!$G$45+$D112*'Коэффициенты (БЛ)'!$G$46+$D111*'Коэффициенты (БЛ)'!$G$47+$D110*'Коэффициенты (БЛ)'!$G$48+$D109*'Коэффициенты (БЛ)'!$G$49+$D108*'Коэффициенты (БЛ)'!$G$50+$D107*'Коэффициенты (БЛ)'!$G$51+$D106*'Коэффициенты (БЛ)'!$G$52+$D105*'Коэффициенты (БЛ)'!$G$53+$D104*'Коэффициенты (БЛ)'!$G$54+$D103*'Коэффициенты (БЛ)'!$G$55+$D102*'Коэффициенты (БЛ)'!$G$56+$D101*'Коэффициенты (БЛ)'!$G$57+$D100*'Коэффициенты (БЛ)'!$G$58+$D99*'Коэффициенты (БЛ)'!$G$59+$D98*'Коэффициенты (БЛ)'!$G$60+$D97*'Коэффициенты (БЛ)'!$G$61+$D96*'Коэффициенты (БЛ)'!$G$62+$D95*'Коэффициенты (БЛ)'!$G$63+$D94*'Коэффициенты (БЛ)'!$G$64+$D93*'Коэффициенты (БЛ)'!$G$65+$D92*'Коэффициенты (БЛ)'!$G$66</f>
        <v>89.380295864614695</v>
      </c>
      <c r="G152" s="43">
        <v>1</v>
      </c>
      <c r="H152" s="43">
        <f t="shared" si="8"/>
        <v>3415.2163096523232</v>
      </c>
      <c r="I152" s="43">
        <f t="shared" si="9"/>
        <v>89.380295864614695</v>
      </c>
    </row>
    <row r="153" spans="2:9" ht="18" customHeight="1" x14ac:dyDescent="0.35">
      <c r="B153" s="49"/>
      <c r="C153" s="36">
        <v>2</v>
      </c>
      <c r="D153" s="37">
        <f>'Обработка руды'!E127</f>
        <v>68556.51488788944</v>
      </c>
      <c r="E153" s="37">
        <f>$D152*'Коэффициенты (ПС)'!$G$8+Расчет!$D151*'Коэффициенты (ПС)'!$G$9+$D150*'Коэффициенты (ПС)'!$G$10+$D149*'Коэффициенты (ПС)'!$G$11+$D148*'Коэффициенты (ПС)'!$G$12+$D147*'Коэффициенты (ПС)'!$G$13+$D146*'Коэффициенты (ПС)'!$G$14+$D145*'Коэффициенты (ПС)'!$G$15+$D144*'Коэффициенты (ПС)'!$G$16+$D143*'Коэффициенты (ПС)'!$G$17+$D142*'Коэффициенты (ПС)'!$G$18+$D141*'Коэффициенты (ПС)'!$G$19+$D140*'Коэффициенты (ПС)'!$G$20+$D139*'Коэффициенты (ПС)'!$G$21+$D138*'Коэффициенты (ПС)'!$G$22+$D137*'Коэффициенты (ПС)'!$G$23+$D136*'Коэффициенты (ПС)'!$G$24+$D135*'Коэффициенты (ПС)'!$G$25+$D134*'Коэффициенты (ПС)'!$G$26+$D133*'Коэффициенты (ПС)'!$G$27+$D132*'Коэффициенты (ПС)'!$G$28+$D131*'Коэффициенты (ПС)'!$G$29+$D130*'Коэффициенты (ПС)'!$G$30+$D129*'Коэффициенты (ПС)'!$G$31+$D128*'Коэффициенты (ПС)'!$G$32+$D127*'Коэффициенты (ПС)'!$G$33+$D126*'Коэффициенты (ПС)'!$G$34+$D125*'Коэффициенты (ПС)'!$G$35+$D124*'Коэффициенты (ПС)'!$G$36+$D123*'Коэффициенты (ПС)'!$G$37+$D122*'Коэффициенты (ПС)'!$G$38+$D121*'Коэффициенты (ПС)'!$G$39+$D120*'Коэффициенты (ПС)'!$G$40+$D119*'Коэффициенты (ПС)'!$G$41+$D118*'Коэффициенты (ПС)'!$G$42+$D117*'Коэффициенты (ПС)'!$G$43+$D116*'Коэффициенты (ПС)'!$G$44+$D115*'Коэффициенты (ПС)'!$G$45+$D114*'Коэффициенты (ПС)'!$G$46+$D113*'Коэффициенты (ПС)'!$G$47+$D112*'Коэффициенты (ПС)'!$G$48+$D111*'Коэффициенты (ПС)'!$G$49+$D110*'Коэффициенты (ПС)'!$G$50+$D109*'Коэффициенты (ПС)'!$G$51+$D108*'Коэффициенты (ПС)'!$G$52+$D107*'Коэффициенты (ПС)'!$G$53+$D106*'Коэффициенты (ПС)'!$G$54+$D105*'Коэффициенты (ПС)'!$G$55+$D104*'Коэффициенты (ПС)'!$G$56+$D103*'Коэффициенты (ПС)'!$G$57+$D102*'Коэффициенты (ПС)'!$G$58+$D101*'Коэффициенты (ПС)'!$G$59+$D100*'Коэффициенты (ПС)'!$G$60+$D99*'Коэффициенты (ПС)'!$G$61+$D98*'Коэффициенты (ПС)'!$G$62+$D97*'Коэффициенты (ПС)'!$G$63+$D96*'Коэффициенты (ПС)'!$G$64+$D95*'Коэффициенты (ПС)'!$G$65+$D94*'Коэффициенты (ПС)'!$G$66+$D93*'Коэффициенты (ПС)'!$G$67</f>
        <v>2246.8055930215555</v>
      </c>
      <c r="F153" s="37">
        <f>$D152*'Коэффициенты (БЛ)'!$G$7+Расчет!$D151*'Коэффициенты (БЛ)'!$G$8+$D150*'Коэффициенты (БЛ)'!$G$9+$D149*'Коэффициенты (БЛ)'!$G$10+$D148*'Коэффициенты (БЛ)'!$G$11+$D147*'Коэффициенты (БЛ)'!$G$12+$D146*'Коэффициенты (БЛ)'!$G$13+$D145*'Коэффициенты (БЛ)'!$G$14+$D144*'Коэффициенты (БЛ)'!$G$15+$D143*'Коэффициенты (БЛ)'!$G$16+$D142*'Коэффициенты (БЛ)'!$G$17+$D141*'Коэффициенты (БЛ)'!$G$18+$D140*'Коэффициенты (БЛ)'!$G$19+$D139*'Коэффициенты (БЛ)'!$G$20+$D138*'Коэффициенты (БЛ)'!$G$21+$D137*'Коэффициенты (БЛ)'!$G$22+$D136*'Коэффициенты (БЛ)'!$G$23+$D135*'Коэффициенты (БЛ)'!$G$24+$D134*'Коэффициенты (БЛ)'!$G$25+$D133*'Коэффициенты (БЛ)'!$G$26+$D132*'Коэффициенты (БЛ)'!$G$27+$D131*'Коэффициенты (БЛ)'!$G$28+$D130*'Коэффициенты (БЛ)'!$G$29+$D129*'Коэффициенты (БЛ)'!$G$30+$D128*'Коэффициенты (БЛ)'!$G$31+$D127*'Коэффициенты (БЛ)'!$G$32+$D126*'Коэффициенты (БЛ)'!$G$33+$D125*'Коэффициенты (БЛ)'!$G$34+$D124*'Коэффициенты (БЛ)'!$G$35+$D123*'Коэффициенты (БЛ)'!$G$36+$D122*'Коэффициенты (БЛ)'!$G$37+$D121*'Коэффициенты (БЛ)'!$G$38+$D120*'Коэффициенты (БЛ)'!$G$39+$D119*'Коэффициенты (БЛ)'!$G$40+$D118*'Коэффициенты (БЛ)'!$G$41+$D117*'Коэффициенты (БЛ)'!$G$42+$D116*'Коэффициенты (БЛ)'!$G$43+$D115*'Коэффициенты (БЛ)'!$G$44+$D114*'Коэффициенты (БЛ)'!$G$45+$D113*'Коэффициенты (БЛ)'!$G$46+$D112*'Коэффициенты (БЛ)'!$G$47+$D111*'Коэффициенты (БЛ)'!$G$48+$D110*'Коэффициенты (БЛ)'!$G$49+$D109*'Коэффициенты (БЛ)'!$G$50+$D108*'Коэффициенты (БЛ)'!$G$51+$D107*'Коэффициенты (БЛ)'!$G$52+$D106*'Коэффициенты (БЛ)'!$G$53+$D105*'Коэффициенты (БЛ)'!$G$54+$D104*'Коэффициенты (БЛ)'!$G$55+$D103*'Коэффициенты (БЛ)'!$G$56+$D102*'Коэффициенты (БЛ)'!$G$57+$D101*'Коэффициенты (БЛ)'!$G$58+$D100*'Коэффициенты (БЛ)'!$G$59+$D99*'Коэффициенты (БЛ)'!$G$60+$D98*'Коэффициенты (БЛ)'!$G$61+$D97*'Коэффициенты (БЛ)'!$G$62+$D96*'Коэффициенты (БЛ)'!$G$63+$D95*'Коэффициенты (БЛ)'!$G$64+$D94*'Коэффициенты (БЛ)'!$G$65+$D93*'Коэффициенты (БЛ)'!$G$66</f>
        <v>58.801589839848766</v>
      </c>
      <c r="G153" s="43">
        <v>1</v>
      </c>
      <c r="H153" s="43">
        <f t="shared" si="8"/>
        <v>2246.8055930215555</v>
      </c>
      <c r="I153" s="43">
        <f t="shared" si="9"/>
        <v>58.801589839848766</v>
      </c>
    </row>
    <row r="154" spans="2:9" ht="18" customHeight="1" x14ac:dyDescent="0.35">
      <c r="B154" s="49"/>
      <c r="C154" s="36">
        <v>3</v>
      </c>
      <c r="D154" s="37">
        <f>'Обработка руды'!E128</f>
        <v>0</v>
      </c>
      <c r="E154" s="37">
        <f>$D153*'Коэффициенты (ПС)'!$G$8+Расчет!$D152*'Коэффициенты (ПС)'!$G$9+$D151*'Коэффициенты (ПС)'!$G$10+$D150*'Коэффициенты (ПС)'!$G$11+$D149*'Коэффициенты (ПС)'!$G$12+$D148*'Коэффициенты (ПС)'!$G$13+$D147*'Коэффициенты (ПС)'!$G$14+$D146*'Коэффициенты (ПС)'!$G$15+$D145*'Коэффициенты (ПС)'!$G$16+$D144*'Коэффициенты (ПС)'!$G$17+$D143*'Коэффициенты (ПС)'!$G$18+$D142*'Коэффициенты (ПС)'!$G$19+$D141*'Коэффициенты (ПС)'!$G$20+$D140*'Коэффициенты (ПС)'!$G$21+$D139*'Коэффициенты (ПС)'!$G$22+$D138*'Коэффициенты (ПС)'!$G$23+$D137*'Коэффициенты (ПС)'!$G$24+$D136*'Коэффициенты (ПС)'!$G$25+$D135*'Коэффициенты (ПС)'!$G$26+$D134*'Коэффициенты (ПС)'!$G$27+$D133*'Коэффициенты (ПС)'!$G$28+$D132*'Коэффициенты (ПС)'!$G$29+$D131*'Коэффициенты (ПС)'!$G$30+$D130*'Коэффициенты (ПС)'!$G$31+$D129*'Коэффициенты (ПС)'!$G$32+$D128*'Коэффициенты (ПС)'!$G$33+$D127*'Коэффициенты (ПС)'!$G$34+$D126*'Коэффициенты (ПС)'!$G$35+$D125*'Коэффициенты (ПС)'!$G$36+$D124*'Коэффициенты (ПС)'!$G$37+$D123*'Коэффициенты (ПС)'!$G$38+$D122*'Коэффициенты (ПС)'!$G$39+$D121*'Коэффициенты (ПС)'!$G$40+$D120*'Коэффициенты (ПС)'!$G$41+$D119*'Коэффициенты (ПС)'!$G$42+$D118*'Коэффициенты (ПС)'!$G$43+$D117*'Коэффициенты (ПС)'!$G$44+$D116*'Коэффициенты (ПС)'!$G$45+$D115*'Коэффициенты (ПС)'!$G$46+$D114*'Коэффициенты (ПС)'!$G$47+$D113*'Коэффициенты (ПС)'!$G$48+$D112*'Коэффициенты (ПС)'!$G$49+$D111*'Коэффициенты (ПС)'!$G$50+$D110*'Коэффициенты (ПС)'!$G$51+$D109*'Коэффициенты (ПС)'!$G$52+$D108*'Коэффициенты (ПС)'!$G$53+$D107*'Коэффициенты (ПС)'!$G$54+$D106*'Коэффициенты (ПС)'!$G$55+$D105*'Коэффициенты (ПС)'!$G$56+$D104*'Коэффициенты (ПС)'!$G$57+$D103*'Коэффициенты (ПС)'!$G$58+$D102*'Коэффициенты (ПС)'!$G$59+$D101*'Коэффициенты (ПС)'!$G$60+$D100*'Коэффициенты (ПС)'!$G$61+$D99*'Коэффициенты (ПС)'!$G$62+$D98*'Коэффициенты (ПС)'!$G$63+$D97*'Коэффициенты (ПС)'!$G$64+$D96*'Коэффициенты (ПС)'!$G$65+$D95*'Коэффициенты (ПС)'!$G$66+$D94*'Коэффициенты (ПС)'!$G$67</f>
        <v>2836.3374105962421</v>
      </c>
      <c r="F154" s="37">
        <f>$D153*'Коэффициенты (БЛ)'!$G$7+Расчет!$D152*'Коэффициенты (БЛ)'!$G$8+$D151*'Коэффициенты (БЛ)'!$G$9+$D150*'Коэффициенты (БЛ)'!$G$10+$D149*'Коэффициенты (БЛ)'!$G$11+$D148*'Коэффициенты (БЛ)'!$G$12+$D147*'Коэффициенты (БЛ)'!$G$13+$D146*'Коэффициенты (БЛ)'!$G$14+$D145*'Коэффициенты (БЛ)'!$G$15+$D144*'Коэффициенты (БЛ)'!$G$16+$D143*'Коэффициенты (БЛ)'!$G$17+$D142*'Коэффициенты (БЛ)'!$G$18+$D141*'Коэффициенты (БЛ)'!$G$19+$D140*'Коэффициенты (БЛ)'!$G$20+$D139*'Коэффициенты (БЛ)'!$G$21+$D138*'Коэффициенты (БЛ)'!$G$22+$D137*'Коэффициенты (БЛ)'!$G$23+$D136*'Коэффициенты (БЛ)'!$G$24+$D135*'Коэффициенты (БЛ)'!$G$25+$D134*'Коэффициенты (БЛ)'!$G$26+$D133*'Коэффициенты (БЛ)'!$G$27+$D132*'Коэффициенты (БЛ)'!$G$28+$D131*'Коэффициенты (БЛ)'!$G$29+$D130*'Коэффициенты (БЛ)'!$G$30+$D129*'Коэффициенты (БЛ)'!$G$31+$D128*'Коэффициенты (БЛ)'!$G$32+$D127*'Коэффициенты (БЛ)'!$G$33+$D126*'Коэффициенты (БЛ)'!$G$34+$D125*'Коэффициенты (БЛ)'!$G$35+$D124*'Коэффициенты (БЛ)'!$G$36+$D123*'Коэффициенты (БЛ)'!$G$37+$D122*'Коэффициенты (БЛ)'!$G$38+$D121*'Коэффициенты (БЛ)'!$G$39+$D120*'Коэффициенты (БЛ)'!$G$40+$D119*'Коэффициенты (БЛ)'!$G$41+$D118*'Коэффициенты (БЛ)'!$G$42+$D117*'Коэффициенты (БЛ)'!$G$43+$D116*'Коэффициенты (БЛ)'!$G$44+$D115*'Коэффициенты (БЛ)'!$G$45+$D114*'Коэффициенты (БЛ)'!$G$46+$D113*'Коэффициенты (БЛ)'!$G$47+$D112*'Коэффициенты (БЛ)'!$G$48+$D111*'Коэффициенты (БЛ)'!$G$49+$D110*'Коэффициенты (БЛ)'!$G$50+$D109*'Коэффициенты (БЛ)'!$G$51+$D108*'Коэффициенты (БЛ)'!$G$52+$D107*'Коэффициенты (БЛ)'!$G$53+$D106*'Коэффициенты (БЛ)'!$G$54+$D105*'Коэффициенты (БЛ)'!$G$55+$D104*'Коэффициенты (БЛ)'!$G$56+$D103*'Коэффициенты (БЛ)'!$G$57+$D102*'Коэффициенты (БЛ)'!$G$58+$D101*'Коэффициенты (БЛ)'!$G$59+$D100*'Коэффициенты (БЛ)'!$G$60+$D99*'Коэффициенты (БЛ)'!$G$61+$D98*'Коэффициенты (БЛ)'!$G$62+$D97*'Коэффициенты (БЛ)'!$G$63+$D96*'Коэффициенты (БЛ)'!$G$64+$D95*'Коэффициенты (БЛ)'!$G$65+$D94*'Коэффициенты (БЛ)'!$G$66</f>
        <v>74.23034266218275</v>
      </c>
      <c r="G154" s="43">
        <v>1</v>
      </c>
      <c r="H154" s="43">
        <f t="shared" si="8"/>
        <v>2836.3374105962421</v>
      </c>
      <c r="I154" s="43">
        <f t="shared" si="9"/>
        <v>74.23034266218275</v>
      </c>
    </row>
    <row r="155" spans="2:9" ht="18" customHeight="1" x14ac:dyDescent="0.35">
      <c r="B155" s="49"/>
      <c r="C155" s="36">
        <v>4</v>
      </c>
      <c r="D155" s="37">
        <f>'Обработка руды'!E129</f>
        <v>0</v>
      </c>
      <c r="E155" s="37">
        <f>$D154*'Коэффициенты (ПС)'!$G$8+Расчет!$D153*'Коэффициенты (ПС)'!$G$9+$D152*'Коэффициенты (ПС)'!$G$10+$D151*'Коэффициенты (ПС)'!$G$11+$D150*'Коэффициенты (ПС)'!$G$12+$D149*'Коэффициенты (ПС)'!$G$13+$D148*'Коэффициенты (ПС)'!$G$14+$D147*'Коэффициенты (ПС)'!$G$15+$D146*'Коэффициенты (ПС)'!$G$16+$D145*'Коэффициенты (ПС)'!$G$17+$D144*'Коэффициенты (ПС)'!$G$18+$D143*'Коэффициенты (ПС)'!$G$19+$D142*'Коэффициенты (ПС)'!$G$20+$D141*'Коэффициенты (ПС)'!$G$21+$D140*'Коэффициенты (ПС)'!$G$22+$D139*'Коэффициенты (ПС)'!$G$23+$D138*'Коэффициенты (ПС)'!$G$24+$D137*'Коэффициенты (ПС)'!$G$25+$D136*'Коэффициенты (ПС)'!$G$26+$D135*'Коэффициенты (ПС)'!$G$27+$D134*'Коэффициенты (ПС)'!$G$28+$D133*'Коэффициенты (ПС)'!$G$29+$D132*'Коэффициенты (ПС)'!$G$30+$D131*'Коэффициенты (ПС)'!$G$31+$D130*'Коэффициенты (ПС)'!$G$32+$D129*'Коэффициенты (ПС)'!$G$33+$D128*'Коэффициенты (ПС)'!$G$34+$D127*'Коэффициенты (ПС)'!$G$35+$D126*'Коэффициенты (ПС)'!$G$36+$D125*'Коэффициенты (ПС)'!$G$37+$D124*'Коэффициенты (ПС)'!$G$38+$D123*'Коэффициенты (ПС)'!$G$39+$D122*'Коэффициенты (ПС)'!$G$40+$D121*'Коэффициенты (ПС)'!$G$41+$D120*'Коэффициенты (ПС)'!$G$42+$D119*'Коэффициенты (ПС)'!$G$43+$D118*'Коэффициенты (ПС)'!$G$44+$D117*'Коэффициенты (ПС)'!$G$45+$D116*'Коэффициенты (ПС)'!$G$46+$D115*'Коэффициенты (ПС)'!$G$47+$D114*'Коэффициенты (ПС)'!$G$48+$D113*'Коэффициенты (ПС)'!$G$49+$D112*'Коэффициенты (ПС)'!$G$50+$D111*'Коэффициенты (ПС)'!$G$51+$D110*'Коэффициенты (ПС)'!$G$52+$D109*'Коэффициенты (ПС)'!$G$53+$D108*'Коэффициенты (ПС)'!$G$54+$D107*'Коэффициенты (ПС)'!$G$55+$D106*'Коэффициенты (ПС)'!$G$56+$D105*'Коэффициенты (ПС)'!$G$57+$D104*'Коэффициенты (ПС)'!$G$58+$D103*'Коэффициенты (ПС)'!$G$59+$D102*'Коэффициенты (ПС)'!$G$60+$D101*'Коэффициенты (ПС)'!$G$61+$D100*'Коэффициенты (ПС)'!$G$62+$D99*'Коэффициенты (ПС)'!$G$63+$D98*'Коэффициенты (ПС)'!$G$64+$D97*'Коэффициенты (ПС)'!$G$65+$D96*'Коэффициенты (ПС)'!$G$66+$D95*'Коэффициенты (ПС)'!$G$67</f>
        <v>2171.0654560500352</v>
      </c>
      <c r="F155" s="37">
        <f>$D154*'Коэффициенты (БЛ)'!$G$7+Расчет!$D153*'Коэффициенты (БЛ)'!$G$8+$D152*'Коэффициенты (БЛ)'!$G$9+$D151*'Коэффициенты (БЛ)'!$G$10+$D150*'Коэффициенты (БЛ)'!$G$11+$D149*'Коэффициенты (БЛ)'!$G$12+$D148*'Коэффициенты (БЛ)'!$G$13+$D147*'Коэффициенты (БЛ)'!$G$14+$D146*'Коэффициенты (БЛ)'!$G$15+$D145*'Коэффициенты (БЛ)'!$G$16+$D144*'Коэффициенты (БЛ)'!$G$17+$D143*'Коэффициенты (БЛ)'!$G$18+$D142*'Коэффициенты (БЛ)'!$G$19+$D141*'Коэффициенты (БЛ)'!$G$20+$D140*'Коэффициенты (БЛ)'!$G$21+$D139*'Коэффициенты (БЛ)'!$G$22+$D138*'Коэффициенты (БЛ)'!$G$23+$D137*'Коэффициенты (БЛ)'!$G$24+$D136*'Коэффициенты (БЛ)'!$G$25+$D135*'Коэффициенты (БЛ)'!$G$26+$D134*'Коэффициенты (БЛ)'!$G$27+$D133*'Коэффициенты (БЛ)'!$G$28+$D132*'Коэффициенты (БЛ)'!$G$29+$D131*'Коэффициенты (БЛ)'!$G$30+$D130*'Коэффициенты (БЛ)'!$G$31+$D129*'Коэффициенты (БЛ)'!$G$32+$D128*'Коэффициенты (БЛ)'!$G$33+$D127*'Коэффициенты (БЛ)'!$G$34+$D126*'Коэффициенты (БЛ)'!$G$35+$D125*'Коэффициенты (БЛ)'!$G$36+$D124*'Коэффициенты (БЛ)'!$G$37+$D123*'Коэффициенты (БЛ)'!$G$38+$D122*'Коэффициенты (БЛ)'!$G$39+$D121*'Коэффициенты (БЛ)'!$G$40+$D120*'Коэффициенты (БЛ)'!$G$41+$D119*'Коэффициенты (БЛ)'!$G$42+$D118*'Коэффициенты (БЛ)'!$G$43+$D117*'Коэффициенты (БЛ)'!$G$44+$D116*'Коэффициенты (БЛ)'!$G$45+$D115*'Коэффициенты (БЛ)'!$G$46+$D114*'Коэффициенты (БЛ)'!$G$47+$D113*'Коэффициенты (БЛ)'!$G$48+$D112*'Коэффициенты (БЛ)'!$G$49+$D111*'Коэффициенты (БЛ)'!$G$50+$D110*'Коэффициенты (БЛ)'!$G$51+$D109*'Коэффициенты (БЛ)'!$G$52+$D108*'Коэффициенты (БЛ)'!$G$53+$D107*'Коэффициенты (БЛ)'!$G$54+$D106*'Коэффициенты (БЛ)'!$G$55+$D105*'Коэффициенты (БЛ)'!$G$56+$D104*'Коэффициенты (БЛ)'!$G$57+$D103*'Коэффициенты (БЛ)'!$G$58+$D102*'Коэффициенты (БЛ)'!$G$59+$D101*'Коэффициенты (БЛ)'!$G$60+$D100*'Коэффициенты (БЛ)'!$G$61+$D99*'Коэффициенты (БЛ)'!$G$62+$D98*'Коэффициенты (БЛ)'!$G$63+$D97*'Коэффициенты (БЛ)'!$G$64+$D96*'Коэффициенты (БЛ)'!$G$65+$D95*'Коэффициенты (БЛ)'!$G$66</f>
        <v>56.819379860291022</v>
      </c>
      <c r="G155" s="43">
        <v>1</v>
      </c>
      <c r="H155" s="43">
        <f t="shared" si="8"/>
        <v>2171.0654560500352</v>
      </c>
      <c r="I155" s="43">
        <f t="shared" si="9"/>
        <v>56.819379860291022</v>
      </c>
    </row>
    <row r="156" spans="2:9" ht="18" customHeight="1" x14ac:dyDescent="0.35">
      <c r="B156" s="49"/>
      <c r="C156" s="36">
        <v>5</v>
      </c>
      <c r="D156" s="37">
        <f>'Обработка руды'!E130</f>
        <v>0</v>
      </c>
      <c r="E156" s="37">
        <f>$D155*'Коэффициенты (ПС)'!$G$8+Расчет!$D154*'Коэффициенты (ПС)'!$G$9+$D153*'Коэффициенты (ПС)'!$G$10+$D152*'Коэффициенты (ПС)'!$G$11+$D151*'Коэффициенты (ПС)'!$G$12+$D150*'Коэффициенты (ПС)'!$G$13+$D149*'Коэффициенты (ПС)'!$G$14+$D148*'Коэффициенты (ПС)'!$G$15+$D147*'Коэффициенты (ПС)'!$G$16+$D146*'Коэффициенты (ПС)'!$G$17+$D145*'Коэффициенты (ПС)'!$G$18+$D144*'Коэффициенты (ПС)'!$G$19+$D143*'Коэффициенты (ПС)'!$G$20+$D142*'Коэффициенты (ПС)'!$G$21+$D141*'Коэффициенты (ПС)'!$G$22+$D140*'Коэффициенты (ПС)'!$G$23+$D139*'Коэффициенты (ПС)'!$G$24+$D138*'Коэффициенты (ПС)'!$G$25+$D137*'Коэффициенты (ПС)'!$G$26+$D136*'Коэффициенты (ПС)'!$G$27+$D135*'Коэффициенты (ПС)'!$G$28+$D134*'Коэффициенты (ПС)'!$G$29+$D133*'Коэффициенты (ПС)'!$G$30+$D132*'Коэффициенты (ПС)'!$G$31+$D131*'Коэффициенты (ПС)'!$G$32+$D130*'Коэффициенты (ПС)'!$G$33+$D129*'Коэффициенты (ПС)'!$G$34+$D128*'Коэффициенты (ПС)'!$G$35+$D127*'Коэффициенты (ПС)'!$G$36+$D126*'Коэффициенты (ПС)'!$G$37+$D125*'Коэффициенты (ПС)'!$G$38+$D124*'Коэффициенты (ПС)'!$G$39+$D123*'Коэффициенты (ПС)'!$G$40+$D122*'Коэффициенты (ПС)'!$G$41+$D121*'Коэффициенты (ПС)'!$G$42+$D120*'Коэффициенты (ПС)'!$G$43+$D119*'Коэффициенты (ПС)'!$G$44+$D118*'Коэффициенты (ПС)'!$G$45+$D117*'Коэффициенты (ПС)'!$G$46+$D116*'Коэффициенты (ПС)'!$G$47+$D115*'Коэффициенты (ПС)'!$G$48+$D114*'Коэффициенты (ПС)'!$G$49+$D113*'Коэффициенты (ПС)'!$G$50+$D112*'Коэффициенты (ПС)'!$G$51+$D111*'Коэффициенты (ПС)'!$G$52+$D110*'Коэффициенты (ПС)'!$G$53+$D109*'Коэффициенты (ПС)'!$G$54+$D108*'Коэффициенты (ПС)'!$G$55+$D107*'Коэффициенты (ПС)'!$G$56+$D106*'Коэффициенты (ПС)'!$G$57+$D105*'Коэффициенты (ПС)'!$G$58+$D104*'Коэффициенты (ПС)'!$G$59+$D103*'Коэффициенты (ПС)'!$G$60+$D102*'Коэффициенты (ПС)'!$G$61+$D101*'Коэффициенты (ПС)'!$G$62+$D100*'Коэффициенты (ПС)'!$G$63+$D99*'Коэффициенты (ПС)'!$G$64+$D98*'Коэффициенты (ПС)'!$G$65+$D97*'Коэффициенты (ПС)'!$G$66+$D96*'Коэффициенты (ПС)'!$G$67</f>
        <v>2076.5729409308174</v>
      </c>
      <c r="F156" s="37">
        <f>$D155*'Коэффициенты (БЛ)'!$G$7+Расчет!$D154*'Коэффициенты (БЛ)'!$G$8+$D153*'Коэффициенты (БЛ)'!$G$9+$D152*'Коэффициенты (БЛ)'!$G$10+$D151*'Коэффициенты (БЛ)'!$G$11+$D150*'Коэффициенты (БЛ)'!$G$12+$D149*'Коэффициенты (БЛ)'!$G$13+$D148*'Коэффициенты (БЛ)'!$G$14+$D147*'Коэффициенты (БЛ)'!$G$15+$D146*'Коэффициенты (БЛ)'!$G$16+$D145*'Коэффициенты (БЛ)'!$G$17+$D144*'Коэффициенты (БЛ)'!$G$18+$D143*'Коэффициенты (БЛ)'!$G$19+$D142*'Коэффициенты (БЛ)'!$G$20+$D141*'Коэффициенты (БЛ)'!$G$21+$D140*'Коэффициенты (БЛ)'!$G$22+$D139*'Коэффициенты (БЛ)'!$G$23+$D138*'Коэффициенты (БЛ)'!$G$24+$D137*'Коэффициенты (БЛ)'!$G$25+$D136*'Коэффициенты (БЛ)'!$G$26+$D135*'Коэффициенты (БЛ)'!$G$27+$D134*'Коэффициенты (БЛ)'!$G$28+$D133*'Коэффициенты (БЛ)'!$G$29+$D132*'Коэффициенты (БЛ)'!$G$30+$D131*'Коэффициенты (БЛ)'!$G$31+$D130*'Коэффициенты (БЛ)'!$G$32+$D129*'Коэффициенты (БЛ)'!$G$33+$D128*'Коэффициенты (БЛ)'!$G$34+$D127*'Коэффициенты (БЛ)'!$G$35+$D126*'Коэффициенты (БЛ)'!$G$36+$D125*'Коэффициенты (БЛ)'!$G$37+$D124*'Коэффициенты (БЛ)'!$G$38+$D123*'Коэффициенты (БЛ)'!$G$39+$D122*'Коэффициенты (БЛ)'!$G$40+$D121*'Коэффициенты (БЛ)'!$G$41+$D120*'Коэффициенты (БЛ)'!$G$42+$D119*'Коэффициенты (БЛ)'!$G$43+$D118*'Коэффициенты (БЛ)'!$G$44+$D117*'Коэффициенты (БЛ)'!$G$45+$D116*'Коэффициенты (БЛ)'!$G$46+$D115*'Коэффициенты (БЛ)'!$G$47+$D114*'Коэффициенты (БЛ)'!$G$48+$D113*'Коэффициенты (БЛ)'!$G$49+$D112*'Коэффициенты (БЛ)'!$G$50+$D111*'Коэффициенты (БЛ)'!$G$51+$D110*'Коэффициенты (БЛ)'!$G$52+$D109*'Коэффициенты (БЛ)'!$G$53+$D108*'Коэффициенты (БЛ)'!$G$54+$D107*'Коэффициенты (БЛ)'!$G$55+$D106*'Коэффициенты (БЛ)'!$G$56+$D105*'Коэффициенты (БЛ)'!$G$57+$D104*'Коэффициенты (БЛ)'!$G$58+$D103*'Коэффициенты (БЛ)'!$G$59+$D102*'Коэффициенты (БЛ)'!$G$60+$D101*'Коэффициенты (БЛ)'!$G$61+$D100*'Коэффициенты (БЛ)'!$G$62+$D99*'Коэффициенты (БЛ)'!$G$63+$D98*'Коэффициенты (БЛ)'!$G$64+$D97*'Коэффициенты (БЛ)'!$G$65+$D96*'Коэффициенты (БЛ)'!$G$66</f>
        <v>54.346397714335197</v>
      </c>
      <c r="G156" s="43">
        <v>1</v>
      </c>
      <c r="H156" s="43">
        <f t="shared" si="8"/>
        <v>2076.5729409308174</v>
      </c>
      <c r="I156" s="43">
        <f t="shared" si="9"/>
        <v>54.346397714335197</v>
      </c>
    </row>
    <row r="157" spans="2:9" ht="18" customHeight="1" x14ac:dyDescent="0.35">
      <c r="B157" s="49"/>
      <c r="C157" s="36">
        <v>6</v>
      </c>
      <c r="D157" s="37">
        <f>'Обработка руды'!E131</f>
        <v>0</v>
      </c>
      <c r="E157" s="37">
        <f>$D156*'Коэффициенты (ПС)'!$G$8+Расчет!$D155*'Коэффициенты (ПС)'!$G$9+$D154*'Коэффициенты (ПС)'!$G$10+$D153*'Коэффициенты (ПС)'!$G$11+$D152*'Коэффициенты (ПС)'!$G$12+$D151*'Коэффициенты (ПС)'!$G$13+$D150*'Коэффициенты (ПС)'!$G$14+$D149*'Коэффициенты (ПС)'!$G$15+$D148*'Коэффициенты (ПС)'!$G$16+$D147*'Коэффициенты (ПС)'!$G$17+$D146*'Коэффициенты (ПС)'!$G$18+$D145*'Коэффициенты (ПС)'!$G$19+$D144*'Коэффициенты (ПС)'!$G$20+$D143*'Коэффициенты (ПС)'!$G$21+$D142*'Коэффициенты (ПС)'!$G$22+$D141*'Коэффициенты (ПС)'!$G$23+$D140*'Коэффициенты (ПС)'!$G$24+$D139*'Коэффициенты (ПС)'!$G$25+$D138*'Коэффициенты (ПС)'!$G$26+$D137*'Коэффициенты (ПС)'!$G$27+$D136*'Коэффициенты (ПС)'!$G$28+$D135*'Коэффициенты (ПС)'!$G$29+$D134*'Коэффициенты (ПС)'!$G$30+$D133*'Коэффициенты (ПС)'!$G$31+$D132*'Коэффициенты (ПС)'!$G$32+$D131*'Коэффициенты (ПС)'!$G$33+$D130*'Коэффициенты (ПС)'!$G$34+$D129*'Коэффициенты (ПС)'!$G$35+$D128*'Коэффициенты (ПС)'!$G$36+$D127*'Коэффициенты (ПС)'!$G$37+$D126*'Коэффициенты (ПС)'!$G$38+$D125*'Коэффициенты (ПС)'!$G$39+$D124*'Коэффициенты (ПС)'!$G$40+$D123*'Коэффициенты (ПС)'!$G$41+$D122*'Коэффициенты (ПС)'!$G$42+$D121*'Коэффициенты (ПС)'!$G$43+$D120*'Коэффициенты (ПС)'!$G$44+$D119*'Коэффициенты (ПС)'!$G$45+$D118*'Коэффициенты (ПС)'!$G$46+$D117*'Коэффициенты (ПС)'!$G$47+$D116*'Коэффициенты (ПС)'!$G$48+$D115*'Коэффициенты (ПС)'!$G$49+$D114*'Коэффициенты (ПС)'!$G$50+$D113*'Коэффициенты (ПС)'!$G$51+$D112*'Коэффициенты (ПС)'!$G$52+$D111*'Коэффициенты (ПС)'!$G$53+$D110*'Коэффициенты (ПС)'!$G$54+$D109*'Коэффициенты (ПС)'!$G$55+$D108*'Коэффициенты (ПС)'!$G$56+$D107*'Коэффициенты (ПС)'!$G$57+$D106*'Коэффициенты (ПС)'!$G$58+$D105*'Коэффициенты (ПС)'!$G$59+$D104*'Коэффициенты (ПС)'!$G$60+$D103*'Коэффициенты (ПС)'!$G$61+$D102*'Коэффициенты (ПС)'!$G$62+$D101*'Коэффициенты (ПС)'!$G$63+$D100*'Коэффициенты (ПС)'!$G$64+$D99*'Коэффициенты (ПС)'!$G$65+$D98*'Коэффициенты (ПС)'!$G$66+$D97*'Коэффициенты (ПС)'!$G$67</f>
        <v>1926.1326349167196</v>
      </c>
      <c r="F157" s="37">
        <f>$D156*'Коэффициенты (БЛ)'!$G$7+Расчет!$D155*'Коэффициенты (БЛ)'!$G$8+$D154*'Коэффициенты (БЛ)'!$G$9+$D153*'Коэффициенты (БЛ)'!$G$10+$D152*'Коэффициенты (БЛ)'!$G$11+$D151*'Коэффициенты (БЛ)'!$G$12+$D150*'Коэффициенты (БЛ)'!$G$13+$D149*'Коэффициенты (БЛ)'!$G$14+$D148*'Коэффициенты (БЛ)'!$G$15+$D147*'Коэффициенты (БЛ)'!$G$16+$D146*'Коэффициенты (БЛ)'!$G$17+$D145*'Коэффициенты (БЛ)'!$G$18+$D144*'Коэффициенты (БЛ)'!$G$19+$D143*'Коэффициенты (БЛ)'!$G$20+$D142*'Коэффициенты (БЛ)'!$G$21+$D141*'Коэффициенты (БЛ)'!$G$22+$D140*'Коэффициенты (БЛ)'!$G$23+$D139*'Коэффициенты (БЛ)'!$G$24+$D138*'Коэффициенты (БЛ)'!$G$25+$D137*'Коэффициенты (БЛ)'!$G$26+$D136*'Коэффициенты (БЛ)'!$G$27+$D135*'Коэффициенты (БЛ)'!$G$28+$D134*'Коэффициенты (БЛ)'!$G$29+$D133*'Коэффициенты (БЛ)'!$G$30+$D132*'Коэффициенты (БЛ)'!$G$31+$D131*'Коэффициенты (БЛ)'!$G$32+$D130*'Коэффициенты (БЛ)'!$G$33+$D129*'Коэффициенты (БЛ)'!$G$34+$D128*'Коэффициенты (БЛ)'!$G$35+$D127*'Коэффициенты (БЛ)'!$G$36+$D126*'Коэффициенты (БЛ)'!$G$37+$D125*'Коэффициенты (БЛ)'!$G$38+$D124*'Коэффициенты (БЛ)'!$G$39+$D123*'Коэффициенты (БЛ)'!$G$40+$D122*'Коэффициенты (БЛ)'!$G$41+$D121*'Коэффициенты (БЛ)'!$G$42+$D120*'Коэффициенты (БЛ)'!$G$43+$D119*'Коэффициенты (БЛ)'!$G$44+$D118*'Коэффициенты (БЛ)'!$G$45+$D117*'Коэффициенты (БЛ)'!$G$46+$D116*'Коэффициенты (БЛ)'!$G$47+$D115*'Коэффициенты (БЛ)'!$G$48+$D114*'Коэффициенты (БЛ)'!$G$49+$D113*'Коэффициенты (БЛ)'!$G$50+$D112*'Коэффициенты (БЛ)'!$G$51+$D111*'Коэффициенты (БЛ)'!$G$52+$D110*'Коэффициенты (БЛ)'!$G$53+$D109*'Коэффициенты (БЛ)'!$G$54+$D108*'Коэффициенты (БЛ)'!$G$55+$D107*'Коэффициенты (БЛ)'!$G$56+$D106*'Коэффициенты (БЛ)'!$G$57+$D105*'Коэффициенты (БЛ)'!$G$58+$D104*'Коэффициенты (БЛ)'!$G$59+$D103*'Коэффициенты (БЛ)'!$G$60+$D102*'Коэффициенты (БЛ)'!$G$61+$D101*'Коэффициенты (БЛ)'!$G$62+$D100*'Коэффициенты (БЛ)'!$G$63+$D99*'Коэффициенты (БЛ)'!$G$64+$D98*'Коэффициенты (БЛ)'!$G$65+$D97*'Коэффициенты (БЛ)'!$G$66</f>
        <v>50.409194959856748</v>
      </c>
      <c r="G157" s="43">
        <v>1</v>
      </c>
      <c r="H157" s="43">
        <f t="shared" si="8"/>
        <v>1926.1326349167196</v>
      </c>
      <c r="I157" s="43">
        <f t="shared" si="9"/>
        <v>50.409194959856748</v>
      </c>
    </row>
    <row r="158" spans="2:9" ht="18" customHeight="1" x14ac:dyDescent="0.35">
      <c r="B158" s="49"/>
      <c r="C158" s="36">
        <v>7</v>
      </c>
      <c r="D158" s="37">
        <f>'Обработка руды'!E132</f>
        <v>0</v>
      </c>
      <c r="E158" s="37">
        <f>$D157*'Коэффициенты (ПС)'!$G$8+Расчет!$D156*'Коэффициенты (ПС)'!$G$9+$D155*'Коэффициенты (ПС)'!$G$10+$D154*'Коэффициенты (ПС)'!$G$11+$D153*'Коэффициенты (ПС)'!$G$12+$D152*'Коэффициенты (ПС)'!$G$13+$D151*'Коэффициенты (ПС)'!$G$14+$D150*'Коэффициенты (ПС)'!$G$15+$D149*'Коэффициенты (ПС)'!$G$16+$D148*'Коэффициенты (ПС)'!$G$17+$D147*'Коэффициенты (ПС)'!$G$18+$D146*'Коэффициенты (ПС)'!$G$19+$D145*'Коэффициенты (ПС)'!$G$20+$D144*'Коэффициенты (ПС)'!$G$21+$D143*'Коэффициенты (ПС)'!$G$22+$D142*'Коэффициенты (ПС)'!$G$23+$D141*'Коэффициенты (ПС)'!$G$24+$D140*'Коэффициенты (ПС)'!$G$25+$D139*'Коэффициенты (ПС)'!$G$26+$D138*'Коэффициенты (ПС)'!$G$27+$D137*'Коэффициенты (ПС)'!$G$28+$D136*'Коэффициенты (ПС)'!$G$29+$D135*'Коэффициенты (ПС)'!$G$30+$D134*'Коэффициенты (ПС)'!$G$31+$D133*'Коэффициенты (ПС)'!$G$32+$D132*'Коэффициенты (ПС)'!$G$33+$D131*'Коэффициенты (ПС)'!$G$34+$D130*'Коэффициенты (ПС)'!$G$35+$D129*'Коэффициенты (ПС)'!$G$36+$D128*'Коэффициенты (ПС)'!$G$37+$D127*'Коэффициенты (ПС)'!$G$38+$D126*'Коэффициенты (ПС)'!$G$39+$D125*'Коэффициенты (ПС)'!$G$40+$D124*'Коэффициенты (ПС)'!$G$41+$D123*'Коэффициенты (ПС)'!$G$42+$D122*'Коэффициенты (ПС)'!$G$43+$D121*'Коэффициенты (ПС)'!$G$44+$D120*'Коэффициенты (ПС)'!$G$45+$D119*'Коэффициенты (ПС)'!$G$46+$D118*'Коэффициенты (ПС)'!$G$47+$D117*'Коэффициенты (ПС)'!$G$48+$D116*'Коэффициенты (ПС)'!$G$49+$D115*'Коэффициенты (ПС)'!$G$50+$D114*'Коэффициенты (ПС)'!$G$51+$D113*'Коэффициенты (ПС)'!$G$52+$D112*'Коэффициенты (ПС)'!$G$53+$D111*'Коэффициенты (ПС)'!$G$54+$D110*'Коэффициенты (ПС)'!$G$55+$D109*'Коэффициенты (ПС)'!$G$56+$D108*'Коэффициенты (ПС)'!$G$57+$D107*'Коэффициенты (ПС)'!$G$58+$D106*'Коэффициенты (ПС)'!$G$59+$D105*'Коэффициенты (ПС)'!$G$60+$D104*'Коэффициенты (ПС)'!$G$61+$D103*'Коэффициенты (ПС)'!$G$62+$D102*'Коэффициенты (ПС)'!$G$63+$D101*'Коэффициенты (ПС)'!$G$64+$D100*'Коэффициенты (ПС)'!$G$65+$D99*'Коэффициенты (ПС)'!$G$66+$D98*'Коэффициенты (ПС)'!$G$67</f>
        <v>1885.0295898829277</v>
      </c>
      <c r="F158" s="37">
        <f>$D157*'Коэффициенты (БЛ)'!$G$7+Расчет!$D156*'Коэффициенты (БЛ)'!$G$8+$D155*'Коэффициенты (БЛ)'!$G$9+$D154*'Коэффициенты (БЛ)'!$G$10+$D153*'Коэффициенты (БЛ)'!$G$11+$D152*'Коэффициенты (БЛ)'!$G$12+$D151*'Коэффициенты (БЛ)'!$G$13+$D150*'Коэффициенты (БЛ)'!$G$14+$D149*'Коэффициенты (БЛ)'!$G$15+$D148*'Коэффициенты (БЛ)'!$G$16+$D147*'Коэффициенты (БЛ)'!$G$17+$D146*'Коэффициенты (БЛ)'!$G$18+$D145*'Коэффициенты (БЛ)'!$G$19+$D144*'Коэффициенты (БЛ)'!$G$20+$D143*'Коэффициенты (БЛ)'!$G$21+$D142*'Коэффициенты (БЛ)'!$G$22+$D141*'Коэффициенты (БЛ)'!$G$23+$D140*'Коэффициенты (БЛ)'!$G$24+$D139*'Коэффициенты (БЛ)'!$G$25+$D138*'Коэффициенты (БЛ)'!$G$26+$D137*'Коэффициенты (БЛ)'!$G$27+$D136*'Коэффициенты (БЛ)'!$G$28+$D135*'Коэффициенты (БЛ)'!$G$29+$D134*'Коэффициенты (БЛ)'!$G$30+$D133*'Коэффициенты (БЛ)'!$G$31+$D132*'Коэффициенты (БЛ)'!$G$32+$D131*'Коэффициенты (БЛ)'!$G$33+$D130*'Коэффициенты (БЛ)'!$G$34+$D129*'Коэффициенты (БЛ)'!$G$35+$D128*'Коэффициенты (БЛ)'!$G$36+$D127*'Коэффициенты (БЛ)'!$G$37+$D126*'Коэффициенты (БЛ)'!$G$38+$D125*'Коэффициенты (БЛ)'!$G$39+$D124*'Коэффициенты (БЛ)'!$G$40+$D123*'Коэффициенты (БЛ)'!$G$41+$D122*'Коэффициенты (БЛ)'!$G$42+$D121*'Коэффициенты (БЛ)'!$G$43+$D120*'Коэффициенты (БЛ)'!$G$44+$D119*'Коэффициенты (БЛ)'!$G$45+$D118*'Коэффициенты (БЛ)'!$G$46+$D117*'Коэффициенты (БЛ)'!$G$47+$D116*'Коэффициенты (БЛ)'!$G$48+$D115*'Коэффициенты (БЛ)'!$G$49+$D114*'Коэффициенты (БЛ)'!$G$50+$D113*'Коэффициенты (БЛ)'!$G$51+$D112*'Коэффициенты (БЛ)'!$G$52+$D111*'Коэффициенты (БЛ)'!$G$53+$D110*'Коэффициенты (БЛ)'!$G$54+$D109*'Коэффициенты (БЛ)'!$G$55+$D108*'Коэффициенты (БЛ)'!$G$56+$D107*'Коэффициенты (БЛ)'!$G$57+$D106*'Коэффициенты (БЛ)'!$G$58+$D105*'Коэффициенты (БЛ)'!$G$59+$D104*'Коэффициенты (БЛ)'!$G$60+$D103*'Коэффициенты (БЛ)'!$G$61+$D102*'Коэффициенты (БЛ)'!$G$62+$D101*'Коэффициенты (БЛ)'!$G$63+$D100*'Коэффициенты (БЛ)'!$G$64+$D99*'Коэффициенты (БЛ)'!$G$65+$D98*'Коэффициенты (БЛ)'!$G$66</f>
        <v>49.33347910675716</v>
      </c>
      <c r="G158" s="43">
        <v>1</v>
      </c>
      <c r="H158" s="43">
        <f t="shared" si="8"/>
        <v>1885.0295898829277</v>
      </c>
      <c r="I158" s="43">
        <f t="shared" si="9"/>
        <v>49.33347910675716</v>
      </c>
    </row>
    <row r="159" spans="2:9" ht="18" customHeight="1" x14ac:dyDescent="0.35">
      <c r="B159" s="49"/>
      <c r="C159" s="36">
        <v>8</v>
      </c>
      <c r="D159" s="37">
        <f>'Обработка руды'!E133</f>
        <v>0</v>
      </c>
      <c r="E159" s="37">
        <f>$D158*'Коэффициенты (ПС)'!$G$8+Расчет!$D157*'Коэффициенты (ПС)'!$G$9+$D156*'Коэффициенты (ПС)'!$G$10+$D155*'Коэффициенты (ПС)'!$G$11+$D154*'Коэффициенты (ПС)'!$G$12+$D153*'Коэффициенты (ПС)'!$G$13+$D152*'Коэффициенты (ПС)'!$G$14+$D151*'Коэффициенты (ПС)'!$G$15+$D150*'Коэффициенты (ПС)'!$G$16+$D149*'Коэффициенты (ПС)'!$G$17+$D148*'Коэффициенты (ПС)'!$G$18+$D147*'Коэффициенты (ПС)'!$G$19+$D146*'Коэффициенты (ПС)'!$G$20+$D145*'Коэффициенты (ПС)'!$G$21+$D144*'Коэффициенты (ПС)'!$G$22+$D143*'Коэффициенты (ПС)'!$G$23+$D142*'Коэффициенты (ПС)'!$G$24+$D141*'Коэффициенты (ПС)'!$G$25+$D140*'Коэффициенты (ПС)'!$G$26+$D139*'Коэффициенты (ПС)'!$G$27+$D138*'Коэффициенты (ПС)'!$G$28+$D137*'Коэффициенты (ПС)'!$G$29+$D136*'Коэффициенты (ПС)'!$G$30+$D135*'Коэффициенты (ПС)'!$G$31+$D134*'Коэффициенты (ПС)'!$G$32+$D133*'Коэффициенты (ПС)'!$G$33+$D132*'Коэффициенты (ПС)'!$G$34+$D131*'Коэффициенты (ПС)'!$G$35+$D130*'Коэффициенты (ПС)'!$G$36+$D129*'Коэффициенты (ПС)'!$G$37+$D128*'Коэффициенты (ПС)'!$G$38+$D127*'Коэффициенты (ПС)'!$G$39+$D126*'Коэффициенты (ПС)'!$G$40+$D125*'Коэффициенты (ПС)'!$G$41+$D124*'Коэффициенты (ПС)'!$G$42+$D123*'Коэффициенты (ПС)'!$G$43+$D122*'Коэффициенты (ПС)'!$G$44+$D121*'Коэффициенты (ПС)'!$G$45+$D120*'Коэффициенты (ПС)'!$G$46+$D119*'Коэффициенты (ПС)'!$G$47+$D118*'Коэффициенты (ПС)'!$G$48+$D117*'Коэффициенты (ПС)'!$G$49+$D116*'Коэффициенты (ПС)'!$G$50+$D115*'Коэффициенты (ПС)'!$G$51+$D114*'Коэффициенты (ПС)'!$G$52+$D113*'Коэффициенты (ПС)'!$G$53+$D112*'Коэффициенты (ПС)'!$G$54+$D111*'Коэффициенты (ПС)'!$G$55+$D110*'Коэффициенты (ПС)'!$G$56+$D109*'Коэффициенты (ПС)'!$G$57+$D108*'Коэффициенты (ПС)'!$G$58+$D107*'Коэффициенты (ПС)'!$G$59+$D106*'Коэффициенты (ПС)'!$G$60+$D105*'Коэффициенты (ПС)'!$G$61+$D104*'Коэффициенты (ПС)'!$G$62+$D103*'Коэффициенты (ПС)'!$G$63+$D102*'Коэффициенты (ПС)'!$G$64+$D101*'Коэффициенты (ПС)'!$G$65+$D100*'Коэффициенты (ПС)'!$G$66+$D99*'Коэффициенты (ПС)'!$G$67</f>
        <v>1783.9571632970651</v>
      </c>
      <c r="F159" s="37">
        <f>$D158*'Коэффициенты (БЛ)'!$G$7+Расчет!$D157*'Коэффициенты (БЛ)'!$G$8+$D156*'Коэффициенты (БЛ)'!$G$9+$D155*'Коэффициенты (БЛ)'!$G$10+$D154*'Коэффициенты (БЛ)'!$G$11+$D153*'Коэффициенты (БЛ)'!$G$12+$D152*'Коэффициенты (БЛ)'!$G$13+$D151*'Коэффициенты (БЛ)'!$G$14+$D150*'Коэффициенты (БЛ)'!$G$15+$D149*'Коэффициенты (БЛ)'!$G$16+$D148*'Коэффициенты (БЛ)'!$G$17+$D147*'Коэффициенты (БЛ)'!$G$18+$D146*'Коэффициенты (БЛ)'!$G$19+$D145*'Коэффициенты (БЛ)'!$G$20+$D144*'Коэффициенты (БЛ)'!$G$21+$D143*'Коэффициенты (БЛ)'!$G$22+$D142*'Коэффициенты (БЛ)'!$G$23+$D141*'Коэффициенты (БЛ)'!$G$24+$D140*'Коэффициенты (БЛ)'!$G$25+$D139*'Коэффициенты (БЛ)'!$G$26+$D138*'Коэффициенты (БЛ)'!$G$27+$D137*'Коэффициенты (БЛ)'!$G$28+$D136*'Коэффициенты (БЛ)'!$G$29+$D135*'Коэффициенты (БЛ)'!$G$30+$D134*'Коэффициенты (БЛ)'!$G$31+$D133*'Коэффициенты (БЛ)'!$G$32+$D132*'Коэффициенты (БЛ)'!$G$33+$D131*'Коэффициенты (БЛ)'!$G$34+$D130*'Коэффициенты (БЛ)'!$G$35+$D129*'Коэффициенты (БЛ)'!$G$36+$D128*'Коэффициенты (БЛ)'!$G$37+$D127*'Коэффициенты (БЛ)'!$G$38+$D126*'Коэффициенты (БЛ)'!$G$39+$D125*'Коэффициенты (БЛ)'!$G$40+$D124*'Коэффициенты (БЛ)'!$G$41+$D123*'Коэффициенты (БЛ)'!$G$42+$D122*'Коэффициенты (БЛ)'!$G$43+$D121*'Коэффициенты (БЛ)'!$G$44+$D120*'Коэффициенты (БЛ)'!$G$45+$D119*'Коэффициенты (БЛ)'!$G$46+$D118*'Коэффициенты (БЛ)'!$G$47+$D117*'Коэффициенты (БЛ)'!$G$48+$D116*'Коэффициенты (БЛ)'!$G$49+$D115*'Коэффициенты (БЛ)'!$G$50+$D114*'Коэффициенты (БЛ)'!$G$51+$D113*'Коэффициенты (БЛ)'!$G$52+$D112*'Коэффициенты (БЛ)'!$G$53+$D111*'Коэффициенты (БЛ)'!$G$54+$D110*'Коэффициенты (БЛ)'!$G$55+$D109*'Коэффициенты (БЛ)'!$G$56+$D108*'Коэффициенты (БЛ)'!$G$57+$D107*'Коэффициенты (БЛ)'!$G$58+$D106*'Коэффициенты (БЛ)'!$G$59+$D105*'Коэффициенты (БЛ)'!$G$60+$D104*'Коэффициенты (БЛ)'!$G$61+$D103*'Коэффициенты (БЛ)'!$G$62+$D102*'Коэффициенты (БЛ)'!$G$63+$D101*'Коэффициенты (БЛ)'!$G$64+$D100*'Коэффициенты (БЛ)'!$G$65+$D99*'Коэффициенты (БЛ)'!$G$66</f>
        <v>46.688292807293017</v>
      </c>
      <c r="G159" s="43">
        <v>1</v>
      </c>
      <c r="H159" s="43">
        <f t="shared" ref="H159:H190" si="10">E159*G159</f>
        <v>1783.9571632970651</v>
      </c>
      <c r="I159" s="43">
        <f t="shared" ref="I159:I190" si="11">F159*G159</f>
        <v>46.688292807293017</v>
      </c>
    </row>
    <row r="160" spans="2:9" ht="18" customHeight="1" x14ac:dyDescent="0.35">
      <c r="B160" s="49"/>
      <c r="C160" s="36">
        <v>9</v>
      </c>
      <c r="D160" s="37">
        <f>'Обработка руды'!E134</f>
        <v>0</v>
      </c>
      <c r="E160" s="37">
        <f>$D159*'Коэффициенты (ПС)'!$G$8+Расчет!$D158*'Коэффициенты (ПС)'!$G$9+$D157*'Коэффициенты (ПС)'!$G$10+$D156*'Коэффициенты (ПС)'!$G$11+$D155*'Коэффициенты (ПС)'!$G$12+$D154*'Коэффициенты (ПС)'!$G$13+$D153*'Коэффициенты (ПС)'!$G$14+$D152*'Коэффициенты (ПС)'!$G$15+$D151*'Коэффициенты (ПС)'!$G$16+$D150*'Коэффициенты (ПС)'!$G$17+$D149*'Коэффициенты (ПС)'!$G$18+$D148*'Коэффициенты (ПС)'!$G$19+$D147*'Коэффициенты (ПС)'!$G$20+$D146*'Коэффициенты (ПС)'!$G$21+$D145*'Коэффициенты (ПС)'!$G$22+$D144*'Коэффициенты (ПС)'!$G$23+$D143*'Коэффициенты (ПС)'!$G$24+$D142*'Коэффициенты (ПС)'!$G$25+$D141*'Коэффициенты (ПС)'!$G$26+$D140*'Коэффициенты (ПС)'!$G$27+$D139*'Коэффициенты (ПС)'!$G$28+$D138*'Коэффициенты (ПС)'!$G$29+$D137*'Коэффициенты (ПС)'!$G$30+$D136*'Коэффициенты (ПС)'!$G$31+$D135*'Коэффициенты (ПС)'!$G$32+$D134*'Коэффициенты (ПС)'!$G$33+$D133*'Коэффициенты (ПС)'!$G$34+$D132*'Коэффициенты (ПС)'!$G$35+$D131*'Коэффициенты (ПС)'!$G$36+$D130*'Коэффициенты (ПС)'!$G$37+$D129*'Коэффициенты (ПС)'!$G$38+$D128*'Коэффициенты (ПС)'!$G$39+$D127*'Коэффициенты (ПС)'!$G$40+$D126*'Коэффициенты (ПС)'!$G$41+$D125*'Коэффициенты (ПС)'!$G$42+$D124*'Коэффициенты (ПС)'!$G$43+$D123*'Коэффициенты (ПС)'!$G$44+$D122*'Коэффициенты (ПС)'!$G$45+$D121*'Коэффициенты (ПС)'!$G$46+$D120*'Коэффициенты (ПС)'!$G$47+$D119*'Коэффициенты (ПС)'!$G$48+$D118*'Коэффициенты (ПС)'!$G$49+$D117*'Коэффициенты (ПС)'!$G$50+$D116*'Коэффициенты (ПС)'!$G$51+$D115*'Коэффициенты (ПС)'!$G$52+$D114*'Коэффициенты (ПС)'!$G$53+$D113*'Коэффициенты (ПС)'!$G$54+$D112*'Коэффициенты (ПС)'!$G$55+$D111*'Коэффициенты (ПС)'!$G$56+$D110*'Коэффициенты (ПС)'!$G$57+$D109*'Коэффициенты (ПС)'!$G$58+$D108*'Коэффициенты (ПС)'!$G$59+$D107*'Коэффициенты (ПС)'!$G$60+$D106*'Коэффициенты (ПС)'!$G$61+$D105*'Коэффициенты (ПС)'!$G$62+$D104*'Коэффициенты (ПС)'!$G$63+$D103*'Коэффициенты (ПС)'!$G$64+$D102*'Коэффициенты (ПС)'!$G$65+$D101*'Коэффициенты (ПС)'!$G$66+$D100*'Коэффициенты (ПС)'!$G$67</f>
        <v>1723.2640784341647</v>
      </c>
      <c r="F160" s="37">
        <f>$D159*'Коэффициенты (БЛ)'!$G$7+Расчет!$D158*'Коэффициенты (БЛ)'!$G$8+$D157*'Коэффициенты (БЛ)'!$G$9+$D156*'Коэффициенты (БЛ)'!$G$10+$D155*'Коэффициенты (БЛ)'!$G$11+$D154*'Коэффициенты (БЛ)'!$G$12+$D153*'Коэффициенты (БЛ)'!$G$13+$D152*'Коэффициенты (БЛ)'!$G$14+$D151*'Коэффициенты (БЛ)'!$G$15+$D150*'Коэффициенты (БЛ)'!$G$16+$D149*'Коэффициенты (БЛ)'!$G$17+$D148*'Коэффициенты (БЛ)'!$G$18+$D147*'Коэффициенты (БЛ)'!$G$19+$D146*'Коэффициенты (БЛ)'!$G$20+$D145*'Коэффициенты (БЛ)'!$G$21+$D144*'Коэффициенты (БЛ)'!$G$22+$D143*'Коэффициенты (БЛ)'!$G$23+$D142*'Коэффициенты (БЛ)'!$G$24+$D141*'Коэффициенты (БЛ)'!$G$25+$D140*'Коэффициенты (БЛ)'!$G$26+$D139*'Коэффициенты (БЛ)'!$G$27+$D138*'Коэффициенты (БЛ)'!$G$28+$D137*'Коэффициенты (БЛ)'!$G$29+$D136*'Коэффициенты (БЛ)'!$G$30+$D135*'Коэффициенты (БЛ)'!$G$31+$D134*'Коэффициенты (БЛ)'!$G$32+$D133*'Коэффициенты (БЛ)'!$G$33+$D132*'Коэффициенты (БЛ)'!$G$34+$D131*'Коэффициенты (БЛ)'!$G$35+$D130*'Коэффициенты (БЛ)'!$G$36+$D129*'Коэффициенты (БЛ)'!$G$37+$D128*'Коэффициенты (БЛ)'!$G$38+$D127*'Коэффициенты (БЛ)'!$G$39+$D126*'Коэффициенты (БЛ)'!$G$40+$D125*'Коэффициенты (БЛ)'!$G$41+$D124*'Коэффициенты (БЛ)'!$G$42+$D123*'Коэффициенты (БЛ)'!$G$43+$D122*'Коэффициенты (БЛ)'!$G$44+$D121*'Коэффициенты (БЛ)'!$G$45+$D120*'Коэффициенты (БЛ)'!$G$46+$D119*'Коэффициенты (БЛ)'!$G$47+$D118*'Коэффициенты (БЛ)'!$G$48+$D117*'Коэффициенты (БЛ)'!$G$49+$D116*'Коэффициенты (БЛ)'!$G$50+$D115*'Коэффициенты (БЛ)'!$G$51+$D114*'Коэффициенты (БЛ)'!$G$52+$D113*'Коэффициенты (БЛ)'!$G$53+$D112*'Коэффициенты (БЛ)'!$G$54+$D111*'Коэффициенты (БЛ)'!$G$55+$D110*'Коэффициенты (БЛ)'!$G$56+$D109*'Коэффициенты (БЛ)'!$G$57+$D108*'Коэффициенты (БЛ)'!$G$58+$D107*'Коэффициенты (БЛ)'!$G$59+$D106*'Коэффициенты (БЛ)'!$G$60+$D105*'Коэффициенты (БЛ)'!$G$61+$D104*'Коэффициенты (БЛ)'!$G$62+$D103*'Коэффициенты (БЛ)'!$G$63+$D102*'Коэффициенты (БЛ)'!$G$64+$D101*'Коэффициенты (БЛ)'!$G$65+$D100*'Коэффициенты (БЛ)'!$G$66</f>
        <v>45.099882179641</v>
      </c>
      <c r="G160" s="43">
        <v>1</v>
      </c>
      <c r="H160" s="43">
        <f t="shared" si="10"/>
        <v>1723.2640784341647</v>
      </c>
      <c r="I160" s="43">
        <f t="shared" si="11"/>
        <v>45.099882179641</v>
      </c>
    </row>
    <row r="161" spans="2:9" ht="18" customHeight="1" x14ac:dyDescent="0.35">
      <c r="B161" s="49"/>
      <c r="C161" s="36">
        <v>10</v>
      </c>
      <c r="D161" s="37">
        <f>'Обработка руды'!E135</f>
        <v>0</v>
      </c>
      <c r="E161" s="37">
        <f>$D160*'Коэффициенты (ПС)'!$G$8+Расчет!$D159*'Коэффициенты (ПС)'!$G$9+$D158*'Коэффициенты (ПС)'!$G$10+$D157*'Коэффициенты (ПС)'!$G$11+$D156*'Коэффициенты (ПС)'!$G$12+$D155*'Коэффициенты (ПС)'!$G$13+$D154*'Коэффициенты (ПС)'!$G$14+$D153*'Коэффициенты (ПС)'!$G$15+$D152*'Коэффициенты (ПС)'!$G$16+$D151*'Коэффициенты (ПС)'!$G$17+$D150*'Коэффициенты (ПС)'!$G$18+$D149*'Коэффициенты (ПС)'!$G$19+$D148*'Коэффициенты (ПС)'!$G$20+$D147*'Коэффициенты (ПС)'!$G$21+$D146*'Коэффициенты (ПС)'!$G$22+$D145*'Коэффициенты (ПС)'!$G$23+$D144*'Коэффициенты (ПС)'!$G$24+$D143*'Коэффициенты (ПС)'!$G$25+$D142*'Коэффициенты (ПС)'!$G$26+$D141*'Коэффициенты (ПС)'!$G$27+$D140*'Коэффициенты (ПС)'!$G$28+$D139*'Коэффициенты (ПС)'!$G$29+$D138*'Коэффициенты (ПС)'!$G$30+$D137*'Коэффициенты (ПС)'!$G$31+$D136*'Коэффициенты (ПС)'!$G$32+$D135*'Коэффициенты (ПС)'!$G$33+$D134*'Коэффициенты (ПС)'!$G$34+$D133*'Коэффициенты (ПС)'!$G$35+$D132*'Коэффициенты (ПС)'!$G$36+$D131*'Коэффициенты (ПС)'!$G$37+$D130*'Коэффициенты (ПС)'!$G$38+$D129*'Коэффициенты (ПС)'!$G$39+$D128*'Коэффициенты (ПС)'!$G$40+$D127*'Коэффициенты (ПС)'!$G$41+$D126*'Коэффициенты (ПС)'!$G$42+$D125*'Коэффициенты (ПС)'!$G$43+$D124*'Коэффициенты (ПС)'!$G$44+$D123*'Коэффициенты (ПС)'!$G$45+$D122*'Коэффициенты (ПС)'!$G$46+$D121*'Коэффициенты (ПС)'!$G$47+$D120*'Коэффициенты (ПС)'!$G$48+$D119*'Коэффициенты (ПС)'!$G$49+$D118*'Коэффициенты (ПС)'!$G$50+$D117*'Коэффициенты (ПС)'!$G$51+$D116*'Коэффициенты (ПС)'!$G$52+$D115*'Коэффициенты (ПС)'!$G$53+$D114*'Коэффициенты (ПС)'!$G$54+$D113*'Коэффициенты (ПС)'!$G$55+$D112*'Коэффициенты (ПС)'!$G$56+$D111*'Коэффициенты (ПС)'!$G$57+$D110*'Коэффициенты (ПС)'!$G$58+$D109*'Коэффициенты (ПС)'!$G$59+$D108*'Коэффициенты (ПС)'!$G$60+$D107*'Коэффициенты (ПС)'!$G$61+$D106*'Коэффициенты (ПС)'!$G$62+$D105*'Коэффициенты (ПС)'!$G$63+$D104*'Коэффициенты (ПС)'!$G$64+$D103*'Коэффициенты (ПС)'!$G$65+$D102*'Коэффициенты (ПС)'!$G$66+$D101*'Коэффициенты (ПС)'!$G$67</f>
        <v>1686.2557293133891</v>
      </c>
      <c r="F161" s="37">
        <f>$D160*'Коэффициенты (БЛ)'!$G$7+Расчет!$D159*'Коэффициенты (БЛ)'!$G$8+$D158*'Коэффициенты (БЛ)'!$G$9+$D157*'Коэффициенты (БЛ)'!$G$10+$D156*'Коэффициенты (БЛ)'!$G$11+$D155*'Коэффициенты (БЛ)'!$G$12+$D154*'Коэффициенты (БЛ)'!$G$13+$D153*'Коэффициенты (БЛ)'!$G$14+$D152*'Коэффициенты (БЛ)'!$G$15+$D151*'Коэффициенты (БЛ)'!$G$16+$D150*'Коэффициенты (БЛ)'!$G$17+$D149*'Коэффициенты (БЛ)'!$G$18+$D148*'Коэффициенты (БЛ)'!$G$19+$D147*'Коэффициенты (БЛ)'!$G$20+$D146*'Коэффициенты (БЛ)'!$G$21+$D145*'Коэффициенты (БЛ)'!$G$22+$D144*'Коэффициенты (БЛ)'!$G$23+$D143*'Коэффициенты (БЛ)'!$G$24+$D142*'Коэффициенты (БЛ)'!$G$25+$D141*'Коэффициенты (БЛ)'!$G$26+$D140*'Коэффициенты (БЛ)'!$G$27+$D139*'Коэффициенты (БЛ)'!$G$28+$D138*'Коэффициенты (БЛ)'!$G$29+$D137*'Коэффициенты (БЛ)'!$G$30+$D136*'Коэффициенты (БЛ)'!$G$31+$D135*'Коэффициенты (БЛ)'!$G$32+$D134*'Коэффициенты (БЛ)'!$G$33+$D133*'Коэффициенты (БЛ)'!$G$34+$D132*'Коэффициенты (БЛ)'!$G$35+$D131*'Коэффициенты (БЛ)'!$G$36+$D130*'Коэффициенты (БЛ)'!$G$37+$D129*'Коэффициенты (БЛ)'!$G$38+$D128*'Коэффициенты (БЛ)'!$G$39+$D127*'Коэффициенты (БЛ)'!$G$40+$D126*'Коэффициенты (БЛ)'!$G$41+$D125*'Коэффициенты (БЛ)'!$G$42+$D124*'Коэффициенты (БЛ)'!$G$43+$D123*'Коэффициенты (БЛ)'!$G$44+$D122*'Коэффициенты (БЛ)'!$G$45+$D121*'Коэффициенты (БЛ)'!$G$46+$D120*'Коэффициенты (БЛ)'!$G$47+$D119*'Коэффициенты (БЛ)'!$G$48+$D118*'Коэффициенты (БЛ)'!$G$49+$D117*'Коэффициенты (БЛ)'!$G$50+$D116*'Коэффициенты (БЛ)'!$G$51+$D115*'Коэффициенты (БЛ)'!$G$52+$D114*'Коэффициенты (БЛ)'!$G$53+$D113*'Коэффициенты (БЛ)'!$G$54+$D112*'Коэффициенты (БЛ)'!$G$55+$D111*'Коэффициенты (БЛ)'!$G$56+$D110*'Коэффициенты (БЛ)'!$G$57+$D109*'Коэффициенты (БЛ)'!$G$58+$D108*'Коэффициенты (БЛ)'!$G$59+$D107*'Коэффициенты (БЛ)'!$G$60+$D106*'Коэффициенты (БЛ)'!$G$61+$D105*'Коэффициенты (БЛ)'!$G$62+$D104*'Коэффициенты (БЛ)'!$G$63+$D103*'Коэффициенты (БЛ)'!$G$64+$D102*'Коэффициенты (БЛ)'!$G$65+$D101*'Коэффициенты (БЛ)'!$G$66</f>
        <v>44.131329416371699</v>
      </c>
      <c r="G161" s="43">
        <v>1</v>
      </c>
      <c r="H161" s="43">
        <f t="shared" si="10"/>
        <v>1686.2557293133891</v>
      </c>
      <c r="I161" s="43">
        <f t="shared" si="11"/>
        <v>44.131329416371699</v>
      </c>
    </row>
    <row r="162" spans="2:9" ht="18" customHeight="1" x14ac:dyDescent="0.35">
      <c r="B162" s="49"/>
      <c r="C162" s="36">
        <v>11</v>
      </c>
      <c r="D162" s="37">
        <f>'Обработка руды'!E136</f>
        <v>76819.539739338827</v>
      </c>
      <c r="E162" s="37">
        <f>$D161*'Коэффициенты (ПС)'!$G$8+Расчет!$D160*'Коэффициенты (ПС)'!$G$9+$D159*'Коэффициенты (ПС)'!$G$10+$D158*'Коэффициенты (ПС)'!$G$11+$D157*'Коэффициенты (ПС)'!$G$12+$D156*'Коэффициенты (ПС)'!$G$13+$D155*'Коэффициенты (ПС)'!$G$14+$D154*'Коэффициенты (ПС)'!$G$15+$D153*'Коэффициенты (ПС)'!$G$16+$D152*'Коэффициенты (ПС)'!$G$17+$D151*'Коэффициенты (ПС)'!$G$18+$D150*'Коэффициенты (ПС)'!$G$19+$D149*'Коэффициенты (ПС)'!$G$20+$D148*'Коэффициенты (ПС)'!$G$21+$D147*'Коэффициенты (ПС)'!$G$22+$D146*'Коэффициенты (ПС)'!$G$23+$D145*'Коэффициенты (ПС)'!$G$24+$D144*'Коэффициенты (ПС)'!$G$25+$D143*'Коэффициенты (ПС)'!$G$26+$D142*'Коэффициенты (ПС)'!$G$27+$D141*'Коэффициенты (ПС)'!$G$28+$D140*'Коэффициенты (ПС)'!$G$29+$D139*'Коэффициенты (ПС)'!$G$30+$D138*'Коэффициенты (ПС)'!$G$31+$D137*'Коэффициенты (ПС)'!$G$32+$D136*'Коэффициенты (ПС)'!$G$33+$D135*'Коэффициенты (ПС)'!$G$34+$D134*'Коэффициенты (ПС)'!$G$35+$D133*'Коэффициенты (ПС)'!$G$36+$D132*'Коэффициенты (ПС)'!$G$37+$D131*'Коэффициенты (ПС)'!$G$38+$D130*'Коэффициенты (ПС)'!$G$39+$D129*'Коэффициенты (ПС)'!$G$40+$D128*'Коэффициенты (ПС)'!$G$41+$D127*'Коэффициенты (ПС)'!$G$42+$D126*'Коэффициенты (ПС)'!$G$43+$D125*'Коэффициенты (ПС)'!$G$44+$D124*'Коэффициенты (ПС)'!$G$45+$D123*'Коэффициенты (ПС)'!$G$46+$D122*'Коэффициенты (ПС)'!$G$47+$D121*'Коэффициенты (ПС)'!$G$48+$D120*'Коэффициенты (ПС)'!$G$49+$D119*'Коэффициенты (ПС)'!$G$50+$D118*'Коэффициенты (ПС)'!$G$51+$D117*'Коэффициенты (ПС)'!$G$52+$D116*'Коэффициенты (ПС)'!$G$53+$D115*'Коэффициенты (ПС)'!$G$54+$D114*'Коэффициенты (ПС)'!$G$55+$D113*'Коэффициенты (ПС)'!$G$56+$D112*'Коэффициенты (ПС)'!$G$57+$D111*'Коэффициенты (ПС)'!$G$58+$D110*'Коэффициенты (ПС)'!$G$59+$D109*'Коэффициенты (ПС)'!$G$60+$D108*'Коэффициенты (ПС)'!$G$61+$D107*'Коэффициенты (ПС)'!$G$62+$D106*'Коэффициенты (ПС)'!$G$63+$D105*'Коэффициенты (ПС)'!$G$64+$D104*'Коэффициенты (ПС)'!$G$65+$D103*'Коэффициенты (ПС)'!$G$66+$D102*'Коэффициенты (ПС)'!$G$67</f>
        <v>1613.9063613420601</v>
      </c>
      <c r="F162" s="37">
        <f>$D161*'Коэффициенты (БЛ)'!$G$7+Расчет!$D160*'Коэффициенты (БЛ)'!$G$8+$D159*'Коэффициенты (БЛ)'!$G$9+$D158*'Коэффициенты (БЛ)'!$G$10+$D157*'Коэффициенты (БЛ)'!$G$11+$D156*'Коэффициенты (БЛ)'!$G$12+$D155*'Коэффициенты (БЛ)'!$G$13+$D154*'Коэффициенты (БЛ)'!$G$14+$D153*'Коэффициенты (БЛ)'!$G$15+$D152*'Коэффициенты (БЛ)'!$G$16+$D151*'Коэффициенты (БЛ)'!$G$17+$D150*'Коэффициенты (БЛ)'!$G$18+$D149*'Коэффициенты (БЛ)'!$G$19+$D148*'Коэффициенты (БЛ)'!$G$20+$D147*'Коэффициенты (БЛ)'!$G$21+$D146*'Коэффициенты (БЛ)'!$G$22+$D145*'Коэффициенты (БЛ)'!$G$23+$D144*'Коэффициенты (БЛ)'!$G$24+$D143*'Коэффициенты (БЛ)'!$G$25+$D142*'Коэффициенты (БЛ)'!$G$26+$D141*'Коэффициенты (БЛ)'!$G$27+$D140*'Коэффициенты (БЛ)'!$G$28+$D139*'Коэффициенты (БЛ)'!$G$29+$D138*'Коэффициенты (БЛ)'!$G$30+$D137*'Коэффициенты (БЛ)'!$G$31+$D136*'Коэффициенты (БЛ)'!$G$32+$D135*'Коэффициенты (БЛ)'!$G$33+$D134*'Коэффициенты (БЛ)'!$G$34+$D133*'Коэффициенты (БЛ)'!$G$35+$D132*'Коэффициенты (БЛ)'!$G$36+$D131*'Коэффициенты (БЛ)'!$G$37+$D130*'Коэффициенты (БЛ)'!$G$38+$D129*'Коэффициенты (БЛ)'!$G$39+$D128*'Коэффициенты (БЛ)'!$G$40+$D127*'Коэффициенты (БЛ)'!$G$41+$D126*'Коэффициенты (БЛ)'!$G$42+$D125*'Коэффициенты (БЛ)'!$G$43+$D124*'Коэффициенты (БЛ)'!$G$44+$D123*'Коэффициенты (БЛ)'!$G$45+$D122*'Коэффициенты (БЛ)'!$G$46+$D121*'Коэффициенты (БЛ)'!$G$47+$D120*'Коэффициенты (БЛ)'!$G$48+$D119*'Коэффициенты (БЛ)'!$G$49+$D118*'Коэффициенты (БЛ)'!$G$50+$D117*'Коэффициенты (БЛ)'!$G$51+$D116*'Коэффициенты (БЛ)'!$G$52+$D115*'Коэффициенты (БЛ)'!$G$53+$D114*'Коэффициенты (БЛ)'!$G$54+$D113*'Коэффициенты (БЛ)'!$G$55+$D112*'Коэффициенты (БЛ)'!$G$56+$D111*'Коэффициенты (БЛ)'!$G$57+$D110*'Коэффициенты (БЛ)'!$G$58+$D109*'Коэффициенты (БЛ)'!$G$59+$D108*'Коэффициенты (БЛ)'!$G$60+$D107*'Коэффициенты (БЛ)'!$G$61+$D106*'Коэффициенты (БЛ)'!$G$62+$D105*'Коэффициенты (БЛ)'!$G$63+$D104*'Коэффициенты (БЛ)'!$G$64+$D103*'Коэффициенты (БЛ)'!$G$65+$D102*'Коэффициенты (БЛ)'!$G$66</f>
        <v>42.237859917348082</v>
      </c>
      <c r="G162" s="43">
        <v>1</v>
      </c>
      <c r="H162" s="43">
        <f t="shared" si="10"/>
        <v>1613.9063613420601</v>
      </c>
      <c r="I162" s="43">
        <f t="shared" si="11"/>
        <v>42.237859917348082</v>
      </c>
    </row>
    <row r="163" spans="2:9" ht="18" customHeight="1" x14ac:dyDescent="0.35">
      <c r="B163" s="49"/>
      <c r="C163" s="36">
        <v>12</v>
      </c>
      <c r="D163" s="37">
        <f>'Обработка руды'!E137</f>
        <v>154623.94537277173</v>
      </c>
      <c r="E163" s="37">
        <f>$D162*'Коэффициенты (ПС)'!$G$8+Расчет!$D161*'Коэффициенты (ПС)'!$G$9+$D160*'Коэффициенты (ПС)'!$G$10+$D159*'Коэффициенты (ПС)'!$G$11+$D158*'Коэффициенты (ПС)'!$G$12+$D157*'Коэффициенты (ПС)'!$G$13+$D156*'Коэффициенты (ПС)'!$G$14+$D155*'Коэффициенты (ПС)'!$G$15+$D154*'Коэффициенты (ПС)'!$G$16+$D153*'Коэффициенты (ПС)'!$G$17+$D152*'Коэффициенты (ПС)'!$G$18+$D151*'Коэффициенты (ПС)'!$G$19+$D150*'Коэффициенты (ПС)'!$G$20+$D149*'Коэффициенты (ПС)'!$G$21+$D148*'Коэффициенты (ПС)'!$G$22+$D147*'Коэффициенты (ПС)'!$G$23+$D146*'Коэффициенты (ПС)'!$G$24+$D145*'Коэффициенты (ПС)'!$G$25+$D144*'Коэффициенты (ПС)'!$G$26+$D143*'Коэффициенты (ПС)'!$G$27+$D142*'Коэффициенты (ПС)'!$G$28+$D141*'Коэффициенты (ПС)'!$G$29+$D140*'Коэффициенты (ПС)'!$G$30+$D139*'Коэффициенты (ПС)'!$G$31+$D138*'Коэффициенты (ПС)'!$G$32+$D137*'Коэффициенты (ПС)'!$G$33+$D136*'Коэффициенты (ПС)'!$G$34+$D135*'Коэффициенты (ПС)'!$G$35+$D134*'Коэффициенты (ПС)'!$G$36+$D133*'Коэффициенты (ПС)'!$G$37+$D132*'Коэффициенты (ПС)'!$G$38+$D131*'Коэффициенты (ПС)'!$G$39+$D130*'Коэффициенты (ПС)'!$G$40+$D129*'Коэффициенты (ПС)'!$G$41+$D128*'Коэффициенты (ПС)'!$G$42+$D127*'Коэффициенты (ПС)'!$G$43+$D126*'Коэффициенты (ПС)'!$G$44+$D125*'Коэффициенты (ПС)'!$G$45+$D124*'Коэффициенты (ПС)'!$G$46+$D123*'Коэффициенты (ПС)'!$G$47+$D122*'Коэффициенты (ПС)'!$G$48+$D121*'Коэффициенты (ПС)'!$G$49+$D120*'Коэффициенты (ПС)'!$G$50+$D119*'Коэффициенты (ПС)'!$G$51+$D118*'Коэффициенты (ПС)'!$G$52+$D117*'Коэффициенты (ПС)'!$G$53+$D116*'Коэффициенты (ПС)'!$G$54+$D115*'Коэффициенты (ПС)'!$G$55+$D114*'Коэффициенты (ПС)'!$G$56+$D113*'Коэффициенты (ПС)'!$G$57+$D112*'Коэффициенты (ПС)'!$G$58+$D111*'Коэффициенты (ПС)'!$G$59+$D110*'Коэффициенты (ПС)'!$G$60+$D109*'Коэффициенты (ПС)'!$G$61+$D108*'Коэффициенты (ПС)'!$G$62+$D107*'Коэффициенты (ПС)'!$G$63+$D106*'Коэффициенты (ПС)'!$G$64+$D105*'Коэффициенты (ПС)'!$G$65+$D104*'Коэффициенты (ПС)'!$G$66+$D103*'Коэффициенты (ПС)'!$G$67</f>
        <v>2409.0943535128654</v>
      </c>
      <c r="F163" s="37">
        <f>$D162*'Коэффициенты (БЛ)'!$G$7+Расчет!$D161*'Коэффициенты (БЛ)'!$G$8+$D160*'Коэффициенты (БЛ)'!$G$9+$D159*'Коэффициенты (БЛ)'!$G$10+$D158*'Коэффициенты (БЛ)'!$G$11+$D157*'Коэффициенты (БЛ)'!$G$12+$D156*'Коэффициенты (БЛ)'!$G$13+$D155*'Коэффициенты (БЛ)'!$G$14+$D154*'Коэффициенты (БЛ)'!$G$15+$D153*'Коэффициенты (БЛ)'!$G$16+$D152*'Коэффициенты (БЛ)'!$G$17+$D151*'Коэффициенты (БЛ)'!$G$18+$D150*'Коэффициенты (БЛ)'!$G$19+$D149*'Коэффициенты (БЛ)'!$G$20+$D148*'Коэффициенты (БЛ)'!$G$21+$D147*'Коэффициенты (БЛ)'!$G$22+$D146*'Коэффициенты (БЛ)'!$G$23+$D145*'Коэффициенты (БЛ)'!$G$24+$D144*'Коэффициенты (БЛ)'!$G$25+$D143*'Коэффициенты (БЛ)'!$G$26+$D142*'Коэффициенты (БЛ)'!$G$27+$D141*'Коэффициенты (БЛ)'!$G$28+$D140*'Коэффициенты (БЛ)'!$G$29+$D139*'Коэффициенты (БЛ)'!$G$30+$D138*'Коэффициенты (БЛ)'!$G$31+$D137*'Коэффициенты (БЛ)'!$G$32+$D136*'Коэффициенты (БЛ)'!$G$33+$D135*'Коэффициенты (БЛ)'!$G$34+$D134*'Коэффициенты (БЛ)'!$G$35+$D133*'Коэффициенты (БЛ)'!$G$36+$D132*'Коэффициенты (БЛ)'!$G$37+$D131*'Коэффициенты (БЛ)'!$G$38+$D130*'Коэффициенты (БЛ)'!$G$39+$D129*'Коэффициенты (БЛ)'!$G$40+$D128*'Коэффициенты (БЛ)'!$G$41+$D127*'Коэффициенты (БЛ)'!$G$42+$D126*'Коэффициенты (БЛ)'!$G$43+$D125*'Коэффициенты (БЛ)'!$G$44+$D124*'Коэффициенты (БЛ)'!$G$45+$D123*'Коэффициенты (БЛ)'!$G$46+$D122*'Коэффициенты (БЛ)'!$G$47+$D121*'Коэффициенты (БЛ)'!$G$48+$D120*'Коэффициенты (БЛ)'!$G$49+$D119*'Коэффициенты (БЛ)'!$G$50+$D118*'Коэффициенты (БЛ)'!$G$51+$D117*'Коэффициенты (БЛ)'!$G$52+$D116*'Коэффициенты (БЛ)'!$G$53+$D115*'Коэффициенты (БЛ)'!$G$54+$D114*'Коэффициенты (БЛ)'!$G$55+$D113*'Коэффициенты (БЛ)'!$G$56+$D112*'Коэффициенты (БЛ)'!$G$57+$D111*'Коэффициенты (БЛ)'!$G$58+$D110*'Коэффициенты (БЛ)'!$G$59+$D109*'Коэффициенты (БЛ)'!$G$60+$D108*'Коэффициенты (БЛ)'!$G$61+$D107*'Коэффициенты (БЛ)'!$G$62+$D106*'Коэффициенты (БЛ)'!$G$63+$D105*'Коэффициенты (БЛ)'!$G$64+$D104*'Коэффициенты (БЛ)'!$G$65+$D103*'Коэффициенты (БЛ)'!$G$66</f>
        <v>63.048880820281958</v>
      </c>
      <c r="G163" s="43">
        <v>1</v>
      </c>
      <c r="H163" s="43">
        <f t="shared" si="10"/>
        <v>2409.0943535128654</v>
      </c>
      <c r="I163" s="43">
        <f t="shared" si="11"/>
        <v>63.048880820281958</v>
      </c>
    </row>
    <row r="164" spans="2:9" ht="18" customHeight="1" x14ac:dyDescent="0.35">
      <c r="B164" s="49">
        <v>2037</v>
      </c>
      <c r="C164" s="36">
        <v>1</v>
      </c>
      <c r="D164" s="37">
        <f>'Обработка руды'!E138</f>
        <v>0</v>
      </c>
      <c r="E164" s="37">
        <f>$D163*'Коэффициенты (ПС)'!$G$8+Расчет!$D162*'Коэффициенты (ПС)'!$G$9+$D161*'Коэффициенты (ПС)'!$G$10+$D160*'Коэффициенты (ПС)'!$G$11+$D159*'Коэффициенты (ПС)'!$G$12+$D158*'Коэффициенты (ПС)'!$G$13+$D157*'Коэффициенты (ПС)'!$G$14+$D156*'Коэффициенты (ПС)'!$G$15+$D155*'Коэффициенты (ПС)'!$G$16+$D154*'Коэффициенты (ПС)'!$G$17+$D153*'Коэффициенты (ПС)'!$G$18+$D152*'Коэффициенты (ПС)'!$G$19+$D151*'Коэффициенты (ПС)'!$G$20+$D150*'Коэффициенты (ПС)'!$G$21+$D149*'Коэффициенты (ПС)'!$G$22+$D148*'Коэффициенты (ПС)'!$G$23+$D147*'Коэффициенты (ПС)'!$G$24+$D146*'Коэффициенты (ПС)'!$G$25+$D145*'Коэффициенты (ПС)'!$G$26+$D144*'Коэффициенты (ПС)'!$G$27+$D143*'Коэффициенты (ПС)'!$G$28+$D142*'Коэффициенты (ПС)'!$G$29+$D141*'Коэффициенты (ПС)'!$G$30+$D140*'Коэффициенты (ПС)'!$G$31+$D139*'Коэффициенты (ПС)'!$G$32+$D138*'Коэффициенты (ПС)'!$G$33+$D137*'Коэффициенты (ПС)'!$G$34+$D136*'Коэффициенты (ПС)'!$G$35+$D135*'Коэффициенты (ПС)'!$G$36+$D134*'Коэффициенты (ПС)'!$G$37+$D133*'Коэффициенты (ПС)'!$G$38+$D132*'Коэффициенты (ПС)'!$G$39+$D131*'Коэффициенты (ПС)'!$G$40+$D130*'Коэффициенты (ПС)'!$G$41+$D129*'Коэффициенты (ПС)'!$G$42+$D128*'Коэффициенты (ПС)'!$G$43+$D127*'Коэффициенты (ПС)'!$G$44+$D126*'Коэффициенты (ПС)'!$G$45+$D125*'Коэффициенты (ПС)'!$G$46+$D124*'Коэффициенты (ПС)'!$G$47+$D123*'Коэффициенты (ПС)'!$G$48+$D122*'Коэффициенты (ПС)'!$G$49+$D121*'Коэффициенты (ПС)'!$G$50+$D120*'Коэффициенты (ПС)'!$G$51+$D119*'Коэффициенты (ПС)'!$G$52+$D118*'Коэффициенты (ПС)'!$G$53+$D117*'Коэффициенты (ПС)'!$G$54+$D116*'Коэффициенты (ПС)'!$G$55+$D115*'Коэффициенты (ПС)'!$G$56+$D114*'Коэффициенты (ПС)'!$G$57+$D113*'Коэффициенты (ПС)'!$G$58+$D112*'Коэффициенты (ПС)'!$G$59+$D111*'Коэффициенты (ПС)'!$G$60+$D110*'Коэффициенты (ПС)'!$G$61+$D109*'Коэффициенты (ПС)'!$G$62+$D108*'Коэффициенты (ПС)'!$G$63+$D107*'Коэффициенты (ПС)'!$G$64+$D106*'Коэффициенты (ПС)'!$G$65+$D105*'Коэффициенты (ПС)'!$G$66+$D104*'Коэффициенты (ПС)'!$G$67</f>
        <v>3399.9501353249011</v>
      </c>
      <c r="F164" s="37">
        <f>$D163*'Коэффициенты (БЛ)'!$G$7+Расчет!$D162*'Коэффициенты (БЛ)'!$G$8+$D161*'Коэффициенты (БЛ)'!$G$9+$D160*'Коэффициенты (БЛ)'!$G$10+$D159*'Коэффициенты (БЛ)'!$G$11+$D158*'Коэффициенты (БЛ)'!$G$12+$D157*'Коэффициенты (БЛ)'!$G$13+$D156*'Коэффициенты (БЛ)'!$G$14+$D155*'Коэффициенты (БЛ)'!$G$15+$D154*'Коэффициенты (БЛ)'!$G$16+$D153*'Коэффициенты (БЛ)'!$G$17+$D152*'Коэффициенты (БЛ)'!$G$18+$D151*'Коэффициенты (БЛ)'!$G$19+$D150*'Коэффициенты (БЛ)'!$G$20+$D149*'Коэффициенты (БЛ)'!$G$21+$D148*'Коэффициенты (БЛ)'!$G$22+$D147*'Коэффициенты (БЛ)'!$G$23+$D146*'Коэффициенты (БЛ)'!$G$24+$D145*'Коэффициенты (БЛ)'!$G$25+$D144*'Коэффициенты (БЛ)'!$G$26+$D143*'Коэффициенты (БЛ)'!$G$27+$D142*'Коэффициенты (БЛ)'!$G$28+$D141*'Коэффициенты (БЛ)'!$G$29+$D140*'Коэффициенты (БЛ)'!$G$30+$D139*'Коэффициенты (БЛ)'!$G$31+$D138*'Коэффициенты (БЛ)'!$G$32+$D137*'Коэффициенты (БЛ)'!$G$33+$D136*'Коэффициенты (БЛ)'!$G$34+$D135*'Коэффициенты (БЛ)'!$G$35+$D134*'Коэффициенты (БЛ)'!$G$36+$D133*'Коэффициенты (БЛ)'!$G$37+$D132*'Коэффициенты (БЛ)'!$G$38+$D131*'Коэффициенты (БЛ)'!$G$39+$D130*'Коэффициенты (БЛ)'!$G$40+$D129*'Коэффициенты (БЛ)'!$G$41+$D128*'Коэффициенты (БЛ)'!$G$42+$D127*'Коэффициенты (БЛ)'!$G$43+$D126*'Коэффициенты (БЛ)'!$G$44+$D125*'Коэффициенты (БЛ)'!$G$45+$D124*'Коэффициенты (БЛ)'!$G$46+$D123*'Коэффициенты (БЛ)'!$G$47+$D122*'Коэффициенты (БЛ)'!$G$48+$D121*'Коэффициенты (БЛ)'!$G$49+$D120*'Коэффициенты (БЛ)'!$G$50+$D119*'Коэффициенты (БЛ)'!$G$51+$D118*'Коэффициенты (БЛ)'!$G$52+$D117*'Коэффициенты (БЛ)'!$G$53+$D116*'Коэффициенты (БЛ)'!$G$54+$D115*'Коэффициенты (БЛ)'!$G$55+$D114*'Коэффициенты (БЛ)'!$G$56+$D113*'Коэффициенты (БЛ)'!$G$57+$D112*'Коэффициенты (БЛ)'!$G$58+$D111*'Коэффициенты (БЛ)'!$G$59+$D110*'Коэффициенты (БЛ)'!$G$60+$D109*'Коэффициенты (БЛ)'!$G$61+$D108*'Коэффициенты (БЛ)'!$G$62+$D107*'Коэффициенты (БЛ)'!$G$63+$D106*'Коэффициенты (БЛ)'!$G$64+$D105*'Коэффициенты (БЛ)'!$G$65+$D104*'Коэффициенты (БЛ)'!$G$66</f>
        <v>88.98076182214443</v>
      </c>
      <c r="G164" s="43">
        <v>1</v>
      </c>
      <c r="H164" s="43">
        <f t="shared" si="10"/>
        <v>3399.9501353249011</v>
      </c>
      <c r="I164" s="43">
        <f t="shared" si="11"/>
        <v>88.98076182214443</v>
      </c>
    </row>
    <row r="165" spans="2:9" ht="18" customHeight="1" x14ac:dyDescent="0.35">
      <c r="B165" s="49"/>
      <c r="C165" s="36">
        <v>2</v>
      </c>
      <c r="D165" s="37">
        <f>'Обработка руды'!E139</f>
        <v>68556.51488788944</v>
      </c>
      <c r="E165" s="37">
        <f>$D164*'Коэффициенты (ПС)'!$G$8+Расчет!$D163*'Коэффициенты (ПС)'!$G$9+$D162*'Коэффициенты (ПС)'!$G$10+$D161*'Коэффициенты (ПС)'!$G$11+$D160*'Коэффициенты (ПС)'!$G$12+$D159*'Коэффициенты (ПС)'!$G$13+$D158*'Коэффициенты (ПС)'!$G$14+$D157*'Коэффициенты (ПС)'!$G$15+$D156*'Коэффициенты (ПС)'!$G$16+$D155*'Коэффициенты (ПС)'!$G$17+$D154*'Коэффициенты (ПС)'!$G$18+$D153*'Коэффициенты (ПС)'!$G$19+$D152*'Коэффициенты (ПС)'!$G$20+$D151*'Коэффициенты (ПС)'!$G$21+$D150*'Коэффициенты (ПС)'!$G$22+$D149*'Коэффициенты (ПС)'!$G$23+$D148*'Коэффициенты (ПС)'!$G$24+$D147*'Коэффициенты (ПС)'!$G$25+$D146*'Коэффициенты (ПС)'!$G$26+$D145*'Коэффициенты (ПС)'!$G$27+$D144*'Коэффициенты (ПС)'!$G$28+$D143*'Коэффициенты (ПС)'!$G$29+$D142*'Коэффициенты (ПС)'!$G$30+$D141*'Коэффициенты (ПС)'!$G$31+$D140*'Коэффициенты (ПС)'!$G$32+$D139*'Коэффициенты (ПС)'!$G$33+$D138*'Коэффициенты (ПС)'!$G$34+$D137*'Коэффициенты (ПС)'!$G$35+$D136*'Коэффициенты (ПС)'!$G$36+$D135*'Коэффициенты (ПС)'!$G$37+$D134*'Коэффициенты (ПС)'!$G$38+$D133*'Коэффициенты (ПС)'!$G$39+$D132*'Коэффициенты (ПС)'!$G$40+$D131*'Коэффициенты (ПС)'!$G$41+$D130*'Коэффициенты (ПС)'!$G$42+$D129*'Коэффициенты (ПС)'!$G$43+$D128*'Коэффициенты (ПС)'!$G$44+$D127*'Коэффициенты (ПС)'!$G$45+$D126*'Коэффициенты (ПС)'!$G$46+$D125*'Коэффициенты (ПС)'!$G$47+$D124*'Коэффициенты (ПС)'!$G$48+$D123*'Коэффициенты (ПС)'!$G$49+$D122*'Коэффициенты (ПС)'!$G$50+$D121*'Коэффициенты (ПС)'!$G$51+$D120*'Коэффициенты (ПС)'!$G$52+$D119*'Коэффициенты (ПС)'!$G$53+$D118*'Коэффициенты (ПС)'!$G$54+$D117*'Коэффициенты (ПС)'!$G$55+$D116*'Коэффициенты (ПС)'!$G$56+$D115*'Коэффициенты (ПС)'!$G$57+$D114*'Коэффициенты (ПС)'!$G$58+$D113*'Коэффициенты (ПС)'!$G$59+$D112*'Коэффициенты (ПС)'!$G$60+$D111*'Коэффициенты (ПС)'!$G$61+$D110*'Коэффициенты (ПС)'!$G$62+$D109*'Коэффициенты (ПС)'!$G$63+$D108*'Коэффициенты (ПС)'!$G$64+$D107*'Коэффициенты (ПС)'!$G$65+$D106*'Коэффициенты (ПС)'!$G$66+$D105*'Коэффициенты (ПС)'!$G$67</f>
        <v>2231.9820751291954</v>
      </c>
      <c r="F165" s="37">
        <f>$D164*'Коэффициенты (БЛ)'!$G$7+Расчет!$D163*'Коэффициенты (БЛ)'!$G$8+$D162*'Коэффициенты (БЛ)'!$G$9+$D161*'Коэффициенты (БЛ)'!$G$10+$D160*'Коэффициенты (БЛ)'!$G$11+$D159*'Коэффициенты (БЛ)'!$G$12+$D158*'Коэффициенты (БЛ)'!$G$13+$D157*'Коэффициенты (БЛ)'!$G$14+$D156*'Коэффициенты (БЛ)'!$G$15+$D155*'Коэффициенты (БЛ)'!$G$16+$D154*'Коэффициенты (БЛ)'!$G$17+$D153*'Коэффициенты (БЛ)'!$G$18+$D152*'Коэффициенты (БЛ)'!$G$19+$D151*'Коэффициенты (БЛ)'!$G$20+$D150*'Коэффициенты (БЛ)'!$G$21+$D149*'Коэффициенты (БЛ)'!$G$22+$D148*'Коэффициенты (БЛ)'!$G$23+$D147*'Коэффициенты (БЛ)'!$G$24+$D146*'Коэффициенты (БЛ)'!$G$25+$D145*'Коэффициенты (БЛ)'!$G$26+$D144*'Коэффициенты (БЛ)'!$G$27+$D143*'Коэффициенты (БЛ)'!$G$28+$D142*'Коэффициенты (БЛ)'!$G$29+$D141*'Коэффициенты (БЛ)'!$G$30+$D140*'Коэффициенты (БЛ)'!$G$31+$D139*'Коэффициенты (БЛ)'!$G$32+$D138*'Коэффициенты (БЛ)'!$G$33+$D137*'Коэффициенты (БЛ)'!$G$34+$D136*'Коэффициенты (БЛ)'!$G$35+$D135*'Коэффициенты (БЛ)'!$G$36+$D134*'Коэффициенты (БЛ)'!$G$37+$D133*'Коэффициенты (БЛ)'!$G$38+$D132*'Коэффициенты (БЛ)'!$G$39+$D131*'Коэффициенты (БЛ)'!$G$40+$D130*'Коэффициенты (БЛ)'!$G$41+$D129*'Коэффициенты (БЛ)'!$G$42+$D128*'Коэффициенты (БЛ)'!$G$43+$D127*'Коэффициенты (БЛ)'!$G$44+$D126*'Коэффициенты (БЛ)'!$G$45+$D125*'Коэффициенты (БЛ)'!$G$46+$D124*'Коэффициенты (БЛ)'!$G$47+$D123*'Коэффициенты (БЛ)'!$G$48+$D122*'Коэффициенты (БЛ)'!$G$49+$D121*'Коэффициенты (БЛ)'!$G$50+$D120*'Коэффициенты (БЛ)'!$G$51+$D119*'Коэффициенты (БЛ)'!$G$52+$D118*'Коэффициенты (БЛ)'!$G$53+$D117*'Коэффициенты (БЛ)'!$G$54+$D116*'Коэффициенты (БЛ)'!$G$55+$D115*'Коэффициенты (БЛ)'!$G$56+$D114*'Коэффициенты (БЛ)'!$G$57+$D113*'Коэффициенты (БЛ)'!$G$58+$D112*'Коэффициенты (БЛ)'!$G$59+$D111*'Коэффициенты (БЛ)'!$G$60+$D110*'Коэффициенты (БЛ)'!$G$61+$D109*'Коэффициенты (БЛ)'!$G$62+$D108*'Коэффициенты (БЛ)'!$G$63+$D107*'Коэффициенты (БЛ)'!$G$64+$D106*'Коэффициенты (БЛ)'!$G$65+$D105*'Коэффициенты (БЛ)'!$G$66</f>
        <v>58.413640645758477</v>
      </c>
      <c r="G165" s="43">
        <v>1</v>
      </c>
      <c r="H165" s="43">
        <f t="shared" si="10"/>
        <v>2231.9820751291954</v>
      </c>
      <c r="I165" s="43">
        <f t="shared" si="11"/>
        <v>58.413640645758477</v>
      </c>
    </row>
    <row r="166" spans="2:9" ht="18" customHeight="1" x14ac:dyDescent="0.35">
      <c r="B166" s="49"/>
      <c r="C166" s="36">
        <v>3</v>
      </c>
      <c r="D166" s="37">
        <f>'Обработка руды'!E140</f>
        <v>0</v>
      </c>
      <c r="E166" s="37">
        <f>$D165*'Коэффициенты (ПС)'!$G$8+Расчет!$D164*'Коэффициенты (ПС)'!$G$9+$D163*'Коэффициенты (ПС)'!$G$10+$D162*'Коэффициенты (ПС)'!$G$11+$D161*'Коэффициенты (ПС)'!$G$12+$D160*'Коэффициенты (ПС)'!$G$13+$D159*'Коэффициенты (ПС)'!$G$14+$D158*'Коэффициенты (ПС)'!$G$15+$D157*'Коэффициенты (ПС)'!$G$16+$D156*'Коэффициенты (ПС)'!$G$17+$D155*'Коэффициенты (ПС)'!$G$18+$D154*'Коэффициенты (ПС)'!$G$19+$D153*'Коэффициенты (ПС)'!$G$20+$D152*'Коэффициенты (ПС)'!$G$21+$D151*'Коэффициенты (ПС)'!$G$22+$D150*'Коэффициенты (ПС)'!$G$23+$D149*'Коэффициенты (ПС)'!$G$24+$D148*'Коэффициенты (ПС)'!$G$25+$D147*'Коэффициенты (ПС)'!$G$26+$D146*'Коэффициенты (ПС)'!$G$27+$D145*'Коэффициенты (ПС)'!$G$28+$D144*'Коэффициенты (ПС)'!$G$29+$D143*'Коэффициенты (ПС)'!$G$30+$D142*'Коэффициенты (ПС)'!$G$31+$D141*'Коэффициенты (ПС)'!$G$32+$D140*'Коэффициенты (ПС)'!$G$33+$D139*'Коэффициенты (ПС)'!$G$34+$D138*'Коэффициенты (ПС)'!$G$35+$D137*'Коэффициенты (ПС)'!$G$36+$D136*'Коэффициенты (ПС)'!$G$37+$D135*'Коэффициенты (ПС)'!$G$38+$D134*'Коэффициенты (ПС)'!$G$39+$D133*'Коэффициенты (ПС)'!$G$40+$D132*'Коэффициенты (ПС)'!$G$41+$D131*'Коэффициенты (ПС)'!$G$42+$D130*'Коэффициенты (ПС)'!$G$43+$D129*'Коэффициенты (ПС)'!$G$44+$D128*'Коэффициенты (ПС)'!$G$45+$D127*'Коэффициенты (ПС)'!$G$46+$D126*'Коэффициенты (ПС)'!$G$47+$D125*'Коэффициенты (ПС)'!$G$48+$D124*'Коэффициенты (ПС)'!$G$49+$D123*'Коэффициенты (ПС)'!$G$50+$D122*'Коэффициенты (ПС)'!$G$51+$D121*'Коэффициенты (ПС)'!$G$52+$D120*'Коэффициенты (ПС)'!$G$53+$D119*'Коэффициенты (ПС)'!$G$54+$D118*'Коэффициенты (ПС)'!$G$55+$D117*'Коэффициенты (ПС)'!$G$56+$D116*'Коэффициенты (ПС)'!$G$57+$D115*'Коэффициенты (ПС)'!$G$58+$D114*'Коэффициенты (ПС)'!$G$59+$D113*'Коэффициенты (ПС)'!$G$60+$D112*'Коэффициенты (ПС)'!$G$61+$D111*'Коэффициенты (ПС)'!$G$62+$D110*'Коэффициенты (ПС)'!$G$63+$D109*'Коэффициенты (ПС)'!$G$64+$D108*'Коэффициенты (ПС)'!$G$65+$D107*'Коэффициенты (ПС)'!$G$66+$D106*'Коэффициенты (ПС)'!$G$67</f>
        <v>2824.2961105772874</v>
      </c>
      <c r="F166" s="37">
        <f>$D165*'Коэффициенты (БЛ)'!$G$7+Расчет!$D164*'Коэффициенты (БЛ)'!$G$8+$D163*'Коэффициенты (БЛ)'!$G$9+$D162*'Коэффициенты (БЛ)'!$G$10+$D161*'Коэффициенты (БЛ)'!$G$11+$D160*'Коэффициенты (БЛ)'!$G$12+$D159*'Коэффициенты (БЛ)'!$G$13+$D158*'Коэффициенты (БЛ)'!$G$14+$D157*'Коэффициенты (БЛ)'!$G$15+$D156*'Коэффициенты (БЛ)'!$G$16+$D155*'Коэффициенты (БЛ)'!$G$17+$D154*'Коэффициенты (БЛ)'!$G$18+$D153*'Коэффициенты (БЛ)'!$G$19+$D152*'Коэффициенты (БЛ)'!$G$20+$D151*'Коэффициенты (БЛ)'!$G$21+$D150*'Коэффициенты (БЛ)'!$G$22+$D149*'Коэффициенты (БЛ)'!$G$23+$D148*'Коэффициенты (БЛ)'!$G$24+$D147*'Коэффициенты (БЛ)'!$G$25+$D146*'Коэффициенты (БЛ)'!$G$26+$D145*'Коэффициенты (БЛ)'!$G$27+$D144*'Коэффициенты (БЛ)'!$G$28+$D143*'Коэффициенты (БЛ)'!$G$29+$D142*'Коэффициенты (БЛ)'!$G$30+$D141*'Коэффициенты (БЛ)'!$G$31+$D140*'Коэффициенты (БЛ)'!$G$32+$D139*'Коэффициенты (БЛ)'!$G$33+$D138*'Коэффициенты (БЛ)'!$G$34+$D137*'Коэффициенты (БЛ)'!$G$35+$D136*'Коэффициенты (БЛ)'!$G$36+$D135*'Коэффициенты (БЛ)'!$G$37+$D134*'Коэффициенты (БЛ)'!$G$38+$D133*'Коэффициенты (БЛ)'!$G$39+$D132*'Коэффициенты (БЛ)'!$G$40+$D131*'Коэффициенты (БЛ)'!$G$41+$D130*'Коэффициенты (БЛ)'!$G$42+$D129*'Коэффициенты (БЛ)'!$G$43+$D128*'Коэффициенты (БЛ)'!$G$44+$D127*'Коэффициенты (БЛ)'!$G$45+$D126*'Коэффициенты (БЛ)'!$G$46+$D125*'Коэффициенты (БЛ)'!$G$47+$D124*'Коэффициенты (БЛ)'!$G$48+$D123*'Коэффициенты (БЛ)'!$G$49+$D122*'Коэффициенты (БЛ)'!$G$50+$D121*'Коэффициенты (БЛ)'!$G$51+$D120*'Коэффициенты (БЛ)'!$G$52+$D119*'Коэффициенты (БЛ)'!$G$53+$D118*'Коэффициенты (БЛ)'!$G$54+$D117*'Коэффициенты (БЛ)'!$G$55+$D116*'Коэффициенты (БЛ)'!$G$56+$D115*'Коэффициенты (БЛ)'!$G$57+$D114*'Коэффициенты (БЛ)'!$G$58+$D113*'Коэффициенты (БЛ)'!$G$59+$D112*'Коэффициенты (БЛ)'!$G$60+$D111*'Коэффициенты (БЛ)'!$G$61+$D110*'Коэффициенты (БЛ)'!$G$62+$D109*'Коэффициенты (БЛ)'!$G$63+$D108*'Коэффициенты (БЛ)'!$G$64+$D107*'Коэффициенты (БЛ)'!$G$65+$D106*'Коэффициенты (БЛ)'!$G$66</f>
        <v>73.915207437732391</v>
      </c>
      <c r="G166" s="43">
        <v>1</v>
      </c>
      <c r="H166" s="43">
        <f t="shared" si="10"/>
        <v>2824.2961105772874</v>
      </c>
      <c r="I166" s="43">
        <f t="shared" si="11"/>
        <v>73.915207437732391</v>
      </c>
    </row>
    <row r="167" spans="2:9" ht="18" customHeight="1" x14ac:dyDescent="0.35">
      <c r="B167" s="49"/>
      <c r="C167" s="36">
        <v>4</v>
      </c>
      <c r="D167" s="37">
        <f>'Обработка руды'!E141</f>
        <v>0</v>
      </c>
      <c r="E167" s="37">
        <f>$D166*'Коэффициенты (ПС)'!$G$8+Расчет!$D165*'Коэффициенты (ПС)'!$G$9+$D164*'Коэффициенты (ПС)'!$G$10+$D163*'Коэффициенты (ПС)'!$G$11+$D162*'Коэффициенты (ПС)'!$G$12+$D161*'Коэффициенты (ПС)'!$G$13+$D160*'Коэффициенты (ПС)'!$G$14+$D159*'Коэффициенты (ПС)'!$G$15+$D158*'Коэффициенты (ПС)'!$G$16+$D157*'Коэффициенты (ПС)'!$G$17+$D156*'Коэффициенты (ПС)'!$G$18+$D155*'Коэффициенты (ПС)'!$G$19+$D154*'Коэффициенты (ПС)'!$G$20+$D153*'Коэффициенты (ПС)'!$G$21+$D152*'Коэффициенты (ПС)'!$G$22+$D151*'Коэффициенты (ПС)'!$G$23+$D150*'Коэффициенты (ПС)'!$G$24+$D149*'Коэффициенты (ПС)'!$G$25+$D148*'Коэффициенты (ПС)'!$G$26+$D147*'Коэффициенты (ПС)'!$G$27+$D146*'Коэффициенты (ПС)'!$G$28+$D145*'Коэффициенты (ПС)'!$G$29+$D144*'Коэффициенты (ПС)'!$G$30+$D143*'Коэффициенты (ПС)'!$G$31+$D142*'Коэффициенты (ПС)'!$G$32+$D141*'Коэффициенты (ПС)'!$G$33+$D140*'Коэффициенты (ПС)'!$G$34+$D139*'Коэффициенты (ПС)'!$G$35+$D138*'Коэффициенты (ПС)'!$G$36+$D137*'Коэффициенты (ПС)'!$G$37+$D136*'Коэффициенты (ПС)'!$G$38+$D135*'Коэффициенты (ПС)'!$G$39+$D134*'Коэффициенты (ПС)'!$G$40+$D133*'Коэффициенты (ПС)'!$G$41+$D132*'Коэффициенты (ПС)'!$G$42+$D131*'Коэффициенты (ПС)'!$G$43+$D130*'Коэффициенты (ПС)'!$G$44+$D129*'Коэффициенты (ПС)'!$G$45+$D128*'Коэффициенты (ПС)'!$G$46+$D127*'Коэффициенты (ПС)'!$G$47+$D126*'Коэффициенты (ПС)'!$G$48+$D125*'Коэффициенты (ПС)'!$G$49+$D124*'Коэффициенты (ПС)'!$G$50+$D123*'Коэффициенты (ПС)'!$G$51+$D122*'Коэффициенты (ПС)'!$G$52+$D121*'Коэффициенты (ПС)'!$G$53+$D120*'Коэффициенты (ПС)'!$G$54+$D119*'Коэффициенты (ПС)'!$G$55+$D118*'Коэффициенты (ПС)'!$G$56+$D117*'Коэффициенты (ПС)'!$G$57+$D116*'Коэффициенты (ПС)'!$G$58+$D115*'Коэффициенты (ПС)'!$G$59+$D114*'Коэффициенты (ПС)'!$G$60+$D113*'Коэффициенты (ПС)'!$G$61+$D112*'Коэффициенты (ПС)'!$G$62+$D111*'Коэффициенты (ПС)'!$G$63+$D110*'Коэффициенты (ПС)'!$G$64+$D109*'Коэффициенты (ПС)'!$G$65+$D108*'Коэффициенты (ПС)'!$G$66+$D107*'Коэффициенты (ПС)'!$G$67</f>
        <v>2159.2737073404774</v>
      </c>
      <c r="F167" s="37">
        <f>$D166*'Коэффициенты (БЛ)'!$G$7+Расчет!$D165*'Коэффициенты (БЛ)'!$G$8+$D164*'Коэффициенты (БЛ)'!$G$9+$D163*'Коэффициенты (БЛ)'!$G$10+$D162*'Коэффициенты (БЛ)'!$G$11+$D161*'Коэффициенты (БЛ)'!$G$12+$D160*'Коэффициенты (БЛ)'!$G$13+$D159*'Коэффициенты (БЛ)'!$G$14+$D158*'Коэффициенты (БЛ)'!$G$15+$D157*'Коэффициенты (БЛ)'!$G$16+$D156*'Коэффициенты (БЛ)'!$G$17+$D155*'Коэффициенты (БЛ)'!$G$18+$D154*'Коэффициенты (БЛ)'!$G$19+$D153*'Коэффициенты (БЛ)'!$G$20+$D152*'Коэффициенты (БЛ)'!$G$21+$D151*'Коэффициенты (БЛ)'!$G$22+$D150*'Коэффициенты (БЛ)'!$G$23+$D149*'Коэффициенты (БЛ)'!$G$24+$D148*'Коэффициенты (БЛ)'!$G$25+$D147*'Коэффициенты (БЛ)'!$G$26+$D146*'Коэффициенты (БЛ)'!$G$27+$D145*'Коэффициенты (БЛ)'!$G$28+$D144*'Коэффициенты (БЛ)'!$G$29+$D143*'Коэффициенты (БЛ)'!$G$30+$D142*'Коэффициенты (БЛ)'!$G$31+$D141*'Коэффициенты (БЛ)'!$G$32+$D140*'Коэффициенты (БЛ)'!$G$33+$D139*'Коэффициенты (БЛ)'!$G$34+$D138*'Коэффициенты (БЛ)'!$G$35+$D137*'Коэффициенты (БЛ)'!$G$36+$D136*'Коэффициенты (БЛ)'!$G$37+$D135*'Коэффициенты (БЛ)'!$G$38+$D134*'Коэффициенты (БЛ)'!$G$39+$D133*'Коэффициенты (БЛ)'!$G$40+$D132*'Коэффициенты (БЛ)'!$G$41+$D131*'Коэффициенты (БЛ)'!$G$42+$D130*'Коэффициенты (БЛ)'!$G$43+$D129*'Коэффициенты (БЛ)'!$G$44+$D128*'Коэффициенты (БЛ)'!$G$45+$D127*'Коэффициенты (БЛ)'!$G$46+$D126*'Коэффициенты (БЛ)'!$G$47+$D125*'Коэффициенты (БЛ)'!$G$48+$D124*'Коэффициенты (БЛ)'!$G$49+$D123*'Коэффициенты (БЛ)'!$G$50+$D122*'Коэффициенты (БЛ)'!$G$51+$D121*'Коэффициенты (БЛ)'!$G$52+$D120*'Коэффициенты (БЛ)'!$G$53+$D119*'Коэффициенты (БЛ)'!$G$54+$D118*'Коэффициенты (БЛ)'!$G$55+$D117*'Коэффициенты (БЛ)'!$G$56+$D116*'Коэффициенты (БЛ)'!$G$57+$D115*'Коэффициенты (БЛ)'!$G$58+$D114*'Коэффициенты (БЛ)'!$G$59+$D113*'Коэффициенты (БЛ)'!$G$60+$D112*'Коэффициенты (БЛ)'!$G$61+$D111*'Коэффициенты (БЛ)'!$G$62+$D110*'Коэффициенты (БЛ)'!$G$63+$D109*'Коэффициенты (БЛ)'!$G$64+$D108*'Коэффициенты (БЛ)'!$G$65+$D107*'Коэффициенты (БЛ)'!$G$66</f>
        <v>56.510775692103287</v>
      </c>
      <c r="G167" s="43">
        <v>1</v>
      </c>
      <c r="H167" s="43">
        <f t="shared" si="10"/>
        <v>2159.2737073404774</v>
      </c>
      <c r="I167" s="43">
        <f t="shared" si="11"/>
        <v>56.510775692103287</v>
      </c>
    </row>
    <row r="168" spans="2:9" ht="18" customHeight="1" x14ac:dyDescent="0.35">
      <c r="B168" s="49"/>
      <c r="C168" s="36">
        <v>5</v>
      </c>
      <c r="D168" s="37">
        <f>'Обработка руды'!E142</f>
        <v>0</v>
      </c>
      <c r="E168" s="37">
        <f>$D167*'Коэффициенты (ПС)'!$G$8+Расчет!$D166*'Коэффициенты (ПС)'!$G$9+$D165*'Коэффициенты (ПС)'!$G$10+$D164*'Коэффициенты (ПС)'!$G$11+$D163*'Коэффициенты (ПС)'!$G$12+$D162*'Коэффициенты (ПС)'!$G$13+$D161*'Коэффициенты (ПС)'!$G$14+$D160*'Коэффициенты (ПС)'!$G$15+$D159*'Коэффициенты (ПС)'!$G$16+$D158*'Коэффициенты (ПС)'!$G$17+$D157*'Коэффициенты (ПС)'!$G$18+$D156*'Коэффициенты (ПС)'!$G$19+$D155*'Коэффициенты (ПС)'!$G$20+$D154*'Коэффициенты (ПС)'!$G$21+$D153*'Коэффициенты (ПС)'!$G$22+$D152*'Коэффициенты (ПС)'!$G$23+$D151*'Коэффициенты (ПС)'!$G$24+$D150*'Коэффициенты (ПС)'!$G$25+$D149*'Коэффициенты (ПС)'!$G$26+$D148*'Коэффициенты (ПС)'!$G$27+$D147*'Коэффициенты (ПС)'!$G$28+$D146*'Коэффициенты (ПС)'!$G$29+$D145*'Коэффициенты (ПС)'!$G$30+$D144*'Коэффициенты (ПС)'!$G$31+$D143*'Коэффициенты (ПС)'!$G$32+$D142*'Коэффициенты (ПС)'!$G$33+$D141*'Коэффициенты (ПС)'!$G$34+$D140*'Коэффициенты (ПС)'!$G$35+$D139*'Коэффициенты (ПС)'!$G$36+$D138*'Коэффициенты (ПС)'!$G$37+$D137*'Коэффициенты (ПС)'!$G$38+$D136*'Коэффициенты (ПС)'!$G$39+$D135*'Коэффициенты (ПС)'!$G$40+$D134*'Коэффициенты (ПС)'!$G$41+$D133*'Коэффициенты (ПС)'!$G$42+$D132*'Коэффициенты (ПС)'!$G$43+$D131*'Коэффициенты (ПС)'!$G$44+$D130*'Коэффициенты (ПС)'!$G$45+$D129*'Коэффициенты (ПС)'!$G$46+$D128*'Коэффициенты (ПС)'!$G$47+$D127*'Коэффициенты (ПС)'!$G$48+$D126*'Коэффициенты (ПС)'!$G$49+$D125*'Коэффициенты (ПС)'!$G$50+$D124*'Коэффициенты (ПС)'!$G$51+$D123*'Коэффициенты (ПС)'!$G$52+$D122*'Коэффициенты (ПС)'!$G$53+$D121*'Коэффициенты (ПС)'!$G$54+$D120*'Коэффициенты (ПС)'!$G$55+$D119*'Коэффициенты (ПС)'!$G$56+$D118*'Коэффициенты (ПС)'!$G$57+$D117*'Коэффициенты (ПС)'!$G$58+$D116*'Коэффициенты (ПС)'!$G$59+$D115*'Коэффициенты (ПС)'!$G$60+$D114*'Коэффициенты (ПС)'!$G$61+$D113*'Коэффициенты (ПС)'!$G$62+$D112*'Коэффициенты (ПС)'!$G$63+$D111*'Коэффициенты (ПС)'!$G$64+$D110*'Коэффициенты (ПС)'!$G$65+$D109*'Коэффициенты (ПС)'!$G$66+$D108*'Коэффициенты (ПС)'!$G$67</f>
        <v>2064.7626555659476</v>
      </c>
      <c r="F168" s="37">
        <f>$D167*'Коэффициенты (БЛ)'!$G$7+Расчет!$D166*'Коэффициенты (БЛ)'!$G$8+$D165*'Коэффициенты (БЛ)'!$G$9+$D164*'Коэффициенты (БЛ)'!$G$10+$D163*'Коэффициенты (БЛ)'!$G$11+$D162*'Коэффициенты (БЛ)'!$G$12+$D161*'Коэффициенты (БЛ)'!$G$13+$D160*'Коэффициенты (БЛ)'!$G$14+$D159*'Коэффициенты (БЛ)'!$G$15+$D158*'Коэффициенты (БЛ)'!$G$16+$D157*'Коэффициенты (БЛ)'!$G$17+$D156*'Коэффициенты (БЛ)'!$G$18+$D155*'Коэффициенты (БЛ)'!$G$19+$D154*'Коэффициенты (БЛ)'!$G$20+$D153*'Коэффициенты (БЛ)'!$G$21+$D152*'Коэффициенты (БЛ)'!$G$22+$D151*'Коэффициенты (БЛ)'!$G$23+$D150*'Коэффициенты (БЛ)'!$G$24+$D149*'Коэффициенты (БЛ)'!$G$25+$D148*'Коэффициенты (БЛ)'!$G$26+$D147*'Коэффициенты (БЛ)'!$G$27+$D146*'Коэффициенты (БЛ)'!$G$28+$D145*'Коэффициенты (БЛ)'!$G$29+$D144*'Коэффициенты (БЛ)'!$G$30+$D143*'Коэффициенты (БЛ)'!$G$31+$D142*'Коэффициенты (БЛ)'!$G$32+$D141*'Коэффициенты (БЛ)'!$G$33+$D140*'Коэффициенты (БЛ)'!$G$34+$D139*'Коэффициенты (БЛ)'!$G$35+$D138*'Коэффициенты (БЛ)'!$G$36+$D137*'Коэффициенты (БЛ)'!$G$37+$D136*'Коэффициенты (БЛ)'!$G$38+$D135*'Коэффициенты (БЛ)'!$G$39+$D134*'Коэффициенты (БЛ)'!$G$40+$D133*'Коэффициенты (БЛ)'!$G$41+$D132*'Коэффициенты (БЛ)'!$G$42+$D131*'Коэффициенты (БЛ)'!$G$43+$D130*'Коэффициенты (БЛ)'!$G$44+$D129*'Коэффициенты (БЛ)'!$G$45+$D128*'Коэффициенты (БЛ)'!$G$46+$D127*'Коэффициенты (БЛ)'!$G$47+$D126*'Коэффициенты (БЛ)'!$G$48+$D125*'Коэффициенты (БЛ)'!$G$49+$D124*'Коэффициенты (БЛ)'!$G$50+$D123*'Коэффициенты (БЛ)'!$G$51+$D122*'Коэффициенты (БЛ)'!$G$52+$D121*'Коэффициенты (БЛ)'!$G$53+$D120*'Коэффициенты (БЛ)'!$G$54+$D119*'Коэффициенты (БЛ)'!$G$55+$D118*'Коэффициенты (БЛ)'!$G$56+$D117*'Коэффициенты (БЛ)'!$G$57+$D116*'Коэффициенты (БЛ)'!$G$58+$D115*'Коэффициенты (БЛ)'!$G$59+$D114*'Коэффициенты (БЛ)'!$G$60+$D113*'Коэффициенты (БЛ)'!$G$61+$D112*'Коэффициенты (БЛ)'!$G$62+$D111*'Коэффициенты (БЛ)'!$G$63+$D110*'Коэффициенты (БЛ)'!$G$64+$D109*'Коэффициенты (БЛ)'!$G$65+$D108*'Коэффициенты (БЛ)'!$G$66</f>
        <v>54.037308419705703</v>
      </c>
      <c r="G168" s="43">
        <v>1</v>
      </c>
      <c r="H168" s="43">
        <f t="shared" si="10"/>
        <v>2064.7626555659476</v>
      </c>
      <c r="I168" s="43">
        <f t="shared" si="11"/>
        <v>54.037308419705703</v>
      </c>
    </row>
    <row r="169" spans="2:9" ht="18" customHeight="1" x14ac:dyDescent="0.35">
      <c r="B169" s="49"/>
      <c r="C169" s="36">
        <v>6</v>
      </c>
      <c r="D169" s="37">
        <f>'Обработка руды'!E143</f>
        <v>0</v>
      </c>
      <c r="E169" s="37">
        <f>$D168*'Коэффициенты (ПС)'!$G$8+Расчет!$D167*'Коэффициенты (ПС)'!$G$9+$D166*'Коэффициенты (ПС)'!$G$10+$D165*'Коэффициенты (ПС)'!$G$11+$D164*'Коэффициенты (ПС)'!$G$12+$D163*'Коэффициенты (ПС)'!$G$13+$D162*'Коэффициенты (ПС)'!$G$14+$D161*'Коэффициенты (ПС)'!$G$15+$D160*'Коэффициенты (ПС)'!$G$16+$D159*'Коэффициенты (ПС)'!$G$17+$D158*'Коэффициенты (ПС)'!$G$18+$D157*'Коэффициенты (ПС)'!$G$19+$D156*'Коэффициенты (ПС)'!$G$20+$D155*'Коэффициенты (ПС)'!$G$21+$D154*'Коэффициенты (ПС)'!$G$22+$D153*'Коэффициенты (ПС)'!$G$23+$D152*'Коэффициенты (ПС)'!$G$24+$D151*'Коэффициенты (ПС)'!$G$25+$D150*'Коэффициенты (ПС)'!$G$26+$D149*'Коэффициенты (ПС)'!$G$27+$D148*'Коэффициенты (ПС)'!$G$28+$D147*'Коэффициенты (ПС)'!$G$29+$D146*'Коэффициенты (ПС)'!$G$30+$D145*'Коэффициенты (ПС)'!$G$31+$D144*'Коэффициенты (ПС)'!$G$32+$D143*'Коэффициенты (ПС)'!$G$33+$D142*'Коэффициенты (ПС)'!$G$34+$D141*'Коэффициенты (ПС)'!$G$35+$D140*'Коэффициенты (ПС)'!$G$36+$D139*'Коэффициенты (ПС)'!$G$37+$D138*'Коэффициенты (ПС)'!$G$38+$D137*'Коэффициенты (ПС)'!$G$39+$D136*'Коэффициенты (ПС)'!$G$40+$D135*'Коэффициенты (ПС)'!$G$41+$D134*'Коэффициенты (ПС)'!$G$42+$D133*'Коэффициенты (ПС)'!$G$43+$D132*'Коэффициенты (ПС)'!$G$44+$D131*'Коэффициенты (ПС)'!$G$45+$D130*'Коэффициенты (ПС)'!$G$46+$D129*'Коэффициенты (ПС)'!$G$47+$D128*'Коэффициенты (ПС)'!$G$48+$D127*'Коэффициенты (ПС)'!$G$49+$D126*'Коэффициенты (ПС)'!$G$50+$D125*'Коэффициенты (ПС)'!$G$51+$D124*'Коэффициенты (ПС)'!$G$52+$D123*'Коэффициенты (ПС)'!$G$53+$D122*'Коэффициенты (ПС)'!$G$54+$D121*'Коэффициенты (ПС)'!$G$55+$D120*'Коэффициенты (ПС)'!$G$56+$D119*'Коэффициенты (ПС)'!$G$57+$D118*'Коэффициенты (ПС)'!$G$58+$D117*'Коэффициенты (ПС)'!$G$59+$D116*'Коэффициенты (ПС)'!$G$60+$D115*'Коэффициенты (ПС)'!$G$61+$D114*'Коэффициенты (ПС)'!$G$62+$D113*'Коэффициенты (ПС)'!$G$63+$D112*'Коэффициенты (ПС)'!$G$64+$D111*'Коэффициенты (ПС)'!$G$65+$D110*'Коэффициенты (ПС)'!$G$66+$D109*'Коэффициенты (ПС)'!$G$67</f>
        <v>1914.5627911978545</v>
      </c>
      <c r="F169" s="37">
        <f>$D168*'Коэффициенты (БЛ)'!$G$7+Расчет!$D167*'Коэффициенты (БЛ)'!$G$8+$D166*'Коэффициенты (БЛ)'!$G$9+$D165*'Коэффициенты (БЛ)'!$G$10+$D164*'Коэффициенты (БЛ)'!$G$11+$D163*'Коэффициенты (БЛ)'!$G$12+$D162*'Коэффициенты (БЛ)'!$G$13+$D161*'Коэффициенты (БЛ)'!$G$14+$D160*'Коэффициенты (БЛ)'!$G$15+$D159*'Коэффициенты (БЛ)'!$G$16+$D158*'Коэффициенты (БЛ)'!$G$17+$D157*'Коэффициенты (БЛ)'!$G$18+$D156*'Коэффициенты (БЛ)'!$G$19+$D155*'Коэффициенты (БЛ)'!$G$20+$D154*'Коэффициенты (БЛ)'!$G$21+$D153*'Коэффициенты (БЛ)'!$G$22+$D152*'Коэффициенты (БЛ)'!$G$23+$D151*'Коэффициенты (БЛ)'!$G$24+$D150*'Коэффициенты (БЛ)'!$G$25+$D149*'Коэффициенты (БЛ)'!$G$26+$D148*'Коэффициенты (БЛ)'!$G$27+$D147*'Коэффициенты (БЛ)'!$G$28+$D146*'Коэффициенты (БЛ)'!$G$29+$D145*'Коэффициенты (БЛ)'!$G$30+$D144*'Коэффициенты (БЛ)'!$G$31+$D143*'Коэффициенты (БЛ)'!$G$32+$D142*'Коэффициенты (БЛ)'!$G$33+$D141*'Коэффициенты (БЛ)'!$G$34+$D140*'Коэффициенты (БЛ)'!$G$35+$D139*'Коэффициенты (БЛ)'!$G$36+$D138*'Коэффициенты (БЛ)'!$G$37+$D137*'Коэффициенты (БЛ)'!$G$38+$D136*'Коэффициенты (БЛ)'!$G$39+$D135*'Коэффициенты (БЛ)'!$G$40+$D134*'Коэффициенты (БЛ)'!$G$41+$D133*'Коэффициенты (БЛ)'!$G$42+$D132*'Коэффициенты (БЛ)'!$G$43+$D131*'Коэффициенты (БЛ)'!$G$44+$D130*'Коэффициенты (БЛ)'!$G$45+$D129*'Коэффициенты (БЛ)'!$G$46+$D128*'Коэффициенты (БЛ)'!$G$47+$D127*'Коэффициенты (БЛ)'!$G$48+$D126*'Коэффициенты (БЛ)'!$G$49+$D125*'Коэффициенты (БЛ)'!$G$50+$D124*'Коэффициенты (БЛ)'!$G$51+$D123*'Коэффициенты (БЛ)'!$G$52+$D122*'Коэффициенты (БЛ)'!$G$53+$D121*'Коэффициенты (БЛ)'!$G$54+$D120*'Коэффициенты (БЛ)'!$G$55+$D119*'Коэффициенты (БЛ)'!$G$56+$D118*'Коэффициенты (БЛ)'!$G$57+$D117*'Коэффициенты (БЛ)'!$G$58+$D116*'Коэффициенты (БЛ)'!$G$59+$D115*'Коэффициенты (БЛ)'!$G$60+$D114*'Коэффициенты (БЛ)'!$G$61+$D113*'Коэффициенты (БЛ)'!$G$62+$D112*'Коэффициенты (БЛ)'!$G$63+$D111*'Коэффициенты (БЛ)'!$G$64+$D110*'Коэффициенты (БЛ)'!$G$65+$D109*'Коэффициенты (БЛ)'!$G$66</f>
        <v>50.106398310702531</v>
      </c>
      <c r="G169" s="43">
        <v>1</v>
      </c>
      <c r="H169" s="43">
        <f t="shared" si="10"/>
        <v>1914.5627911978545</v>
      </c>
      <c r="I169" s="43">
        <f t="shared" si="11"/>
        <v>50.106398310702531</v>
      </c>
    </row>
    <row r="170" spans="2:9" ht="18" customHeight="1" x14ac:dyDescent="0.35">
      <c r="B170" s="49"/>
      <c r="C170" s="36">
        <v>7</v>
      </c>
      <c r="D170" s="37">
        <f>'Обработка руды'!E144</f>
        <v>0</v>
      </c>
      <c r="E170" s="37">
        <f>$D169*'Коэффициенты (ПС)'!$G$8+Расчет!$D168*'Коэффициенты (ПС)'!$G$9+$D167*'Коэффициенты (ПС)'!$G$10+$D166*'Коэффициенты (ПС)'!$G$11+$D165*'Коэффициенты (ПС)'!$G$12+$D164*'Коэффициенты (ПС)'!$G$13+$D163*'Коэффициенты (ПС)'!$G$14+$D162*'Коэффициенты (ПС)'!$G$15+$D161*'Коэффициенты (ПС)'!$G$16+$D160*'Коэффициенты (ПС)'!$G$17+$D159*'Коэффициенты (ПС)'!$G$18+$D158*'Коэффициенты (ПС)'!$G$19+$D157*'Коэффициенты (ПС)'!$G$20+$D156*'Коэффициенты (ПС)'!$G$21+$D155*'Коэффициенты (ПС)'!$G$22+$D154*'Коэффициенты (ПС)'!$G$23+$D153*'Коэффициенты (ПС)'!$G$24+$D152*'Коэффициенты (ПС)'!$G$25+$D151*'Коэффициенты (ПС)'!$G$26+$D150*'Коэффициенты (ПС)'!$G$27+$D149*'Коэффициенты (ПС)'!$G$28+$D148*'Коэффициенты (ПС)'!$G$29+$D147*'Коэффициенты (ПС)'!$G$30+$D146*'Коэффициенты (ПС)'!$G$31+$D145*'Коэффициенты (ПС)'!$G$32+$D144*'Коэффициенты (ПС)'!$G$33+$D143*'Коэффициенты (ПС)'!$G$34+$D142*'Коэффициенты (ПС)'!$G$35+$D141*'Коэффициенты (ПС)'!$G$36+$D140*'Коэффициенты (ПС)'!$G$37+$D139*'Коэффициенты (ПС)'!$G$38+$D138*'Коэффициенты (ПС)'!$G$39+$D137*'Коэффициенты (ПС)'!$G$40+$D136*'Коэффициенты (ПС)'!$G$41+$D135*'Коэффициенты (ПС)'!$G$42+$D134*'Коэффициенты (ПС)'!$G$43+$D133*'Коэффициенты (ПС)'!$G$44+$D132*'Коэффициенты (ПС)'!$G$45+$D131*'Коэффициенты (ПС)'!$G$46+$D130*'Коэффициенты (ПС)'!$G$47+$D129*'Коэффициенты (ПС)'!$G$48+$D128*'Коэффициенты (ПС)'!$G$49+$D127*'Коэффициенты (ПС)'!$G$50+$D126*'Коэффициенты (ПС)'!$G$51+$D125*'Коэффициенты (ПС)'!$G$52+$D124*'Коэффициенты (ПС)'!$G$53+$D123*'Коэффициенты (ПС)'!$G$54+$D122*'Коэффициенты (ПС)'!$G$55+$D121*'Коэффициенты (ПС)'!$G$56+$D120*'Коэффициенты (ПС)'!$G$57+$D119*'Коэффициенты (ПС)'!$G$58+$D118*'Коэффициенты (ПС)'!$G$59+$D117*'Коэффициенты (ПС)'!$G$60+$D116*'Коэффициенты (ПС)'!$G$61+$D115*'Коэффициенты (ПС)'!$G$62+$D114*'Коэффициенты (ПС)'!$G$63+$D113*'Коэффициенты (ПС)'!$G$64+$D112*'Коэффициенты (ПС)'!$G$65+$D111*'Коэффициенты (ПС)'!$G$66+$D110*'Коэффициенты (ПС)'!$G$67</f>
        <v>1873.3133967251649</v>
      </c>
      <c r="F170" s="37">
        <f>$D169*'Коэффициенты (БЛ)'!$G$7+Расчет!$D168*'Коэффициенты (БЛ)'!$G$8+$D167*'Коэффициенты (БЛ)'!$G$9+$D166*'Коэффициенты (БЛ)'!$G$10+$D165*'Коэффициенты (БЛ)'!$G$11+$D164*'Коэффициенты (БЛ)'!$G$12+$D163*'Коэффициенты (БЛ)'!$G$13+$D162*'Коэффициенты (БЛ)'!$G$14+$D161*'Коэффициенты (БЛ)'!$G$15+$D160*'Коэффициенты (БЛ)'!$G$16+$D159*'Коэффициенты (БЛ)'!$G$17+$D158*'Коэффициенты (БЛ)'!$G$18+$D157*'Коэффициенты (БЛ)'!$G$19+$D156*'Коэффициенты (БЛ)'!$G$20+$D155*'Коэффициенты (БЛ)'!$G$21+$D154*'Коэффициенты (БЛ)'!$G$22+$D153*'Коэффициенты (БЛ)'!$G$23+$D152*'Коэффициенты (БЛ)'!$G$24+$D151*'Коэффициенты (БЛ)'!$G$25+$D150*'Коэффициенты (БЛ)'!$G$26+$D149*'Коэффициенты (БЛ)'!$G$27+$D148*'Коэффициенты (БЛ)'!$G$28+$D147*'Коэффициенты (БЛ)'!$G$29+$D146*'Коэффициенты (БЛ)'!$G$30+$D145*'Коэффициенты (БЛ)'!$G$31+$D144*'Коэффициенты (БЛ)'!$G$32+$D143*'Коэффициенты (БЛ)'!$G$33+$D142*'Коэффициенты (БЛ)'!$G$34+$D141*'Коэффициенты (БЛ)'!$G$35+$D140*'Коэффициенты (БЛ)'!$G$36+$D139*'Коэффициенты (БЛ)'!$G$37+$D138*'Коэффициенты (БЛ)'!$G$38+$D137*'Коэффициенты (БЛ)'!$G$39+$D136*'Коэффициенты (БЛ)'!$G$40+$D135*'Коэффициенты (БЛ)'!$G$41+$D134*'Коэффициенты (БЛ)'!$G$42+$D133*'Коэффициенты (БЛ)'!$G$43+$D132*'Коэффициенты (БЛ)'!$G$44+$D131*'Коэффициенты (БЛ)'!$G$45+$D130*'Коэффициенты (БЛ)'!$G$46+$D129*'Коэффициенты (БЛ)'!$G$47+$D128*'Коэффициенты (БЛ)'!$G$48+$D127*'Коэффициенты (БЛ)'!$G$49+$D126*'Коэффициенты (БЛ)'!$G$50+$D125*'Коэффициенты (БЛ)'!$G$51+$D124*'Коэффициенты (БЛ)'!$G$52+$D123*'Коэффициенты (БЛ)'!$G$53+$D122*'Коэффициенты (БЛ)'!$G$54+$D121*'Коэффициенты (БЛ)'!$G$55+$D120*'Коэффициенты (БЛ)'!$G$56+$D119*'Коэффициенты (БЛ)'!$G$57+$D118*'Коэффициенты (БЛ)'!$G$58+$D117*'Коэффициенты (БЛ)'!$G$59+$D116*'Коэффициенты (БЛ)'!$G$60+$D115*'Коэффициенты (БЛ)'!$G$61+$D114*'Коэффициенты (БЛ)'!$G$62+$D113*'Коэффициенты (БЛ)'!$G$63+$D112*'Коэффициенты (БЛ)'!$G$64+$D111*'Коэффициенты (БЛ)'!$G$65+$D110*'Коэффициенты (БЛ)'!$G$66</f>
        <v>49.026852317734132</v>
      </c>
      <c r="G170" s="43">
        <v>1</v>
      </c>
      <c r="H170" s="43">
        <f t="shared" si="10"/>
        <v>1873.3133967251649</v>
      </c>
      <c r="I170" s="43">
        <f t="shared" si="11"/>
        <v>49.026852317734132</v>
      </c>
    </row>
    <row r="171" spans="2:9" ht="18" customHeight="1" x14ac:dyDescent="0.35">
      <c r="B171" s="49"/>
      <c r="C171" s="36">
        <v>8</v>
      </c>
      <c r="D171" s="37">
        <f>'Обработка руды'!E145</f>
        <v>0</v>
      </c>
      <c r="E171" s="37">
        <f>$D170*'Коэффициенты (ПС)'!$G$8+Расчет!$D169*'Коэффициенты (ПС)'!$G$9+$D168*'Коэффициенты (ПС)'!$G$10+$D167*'Коэффициенты (ПС)'!$G$11+$D166*'Коэффициенты (ПС)'!$G$12+$D165*'Коэффициенты (ПС)'!$G$13+$D164*'Коэффициенты (ПС)'!$G$14+$D163*'Коэффициенты (ПС)'!$G$15+$D162*'Коэффициенты (ПС)'!$G$16+$D161*'Коэффициенты (ПС)'!$G$17+$D160*'Коэффициенты (ПС)'!$G$18+$D159*'Коэффициенты (ПС)'!$G$19+$D158*'Коэффициенты (ПС)'!$G$20+$D157*'Коэффициенты (ПС)'!$G$21+$D156*'Коэффициенты (ПС)'!$G$22+$D155*'Коэффициенты (ПС)'!$G$23+$D154*'Коэффициенты (ПС)'!$G$24+$D153*'Коэффициенты (ПС)'!$G$25+$D152*'Коэффициенты (ПС)'!$G$26+$D151*'Коэффициенты (ПС)'!$G$27+$D150*'Коэффициенты (ПС)'!$G$28+$D149*'Коэффициенты (ПС)'!$G$29+$D148*'Коэффициенты (ПС)'!$G$30+$D147*'Коэффициенты (ПС)'!$G$31+$D146*'Коэффициенты (ПС)'!$G$32+$D145*'Коэффициенты (ПС)'!$G$33+$D144*'Коэффициенты (ПС)'!$G$34+$D143*'Коэффициенты (ПС)'!$G$35+$D142*'Коэффициенты (ПС)'!$G$36+$D141*'Коэффициенты (ПС)'!$G$37+$D140*'Коэффициенты (ПС)'!$G$38+$D139*'Коэффициенты (ПС)'!$G$39+$D138*'Коэффициенты (ПС)'!$G$40+$D137*'Коэффициенты (ПС)'!$G$41+$D136*'Коэффициенты (ПС)'!$G$42+$D135*'Коэффициенты (ПС)'!$G$43+$D134*'Коэффициенты (ПС)'!$G$44+$D133*'Коэффициенты (ПС)'!$G$45+$D132*'Коэффициенты (ПС)'!$G$46+$D131*'Коэффициенты (ПС)'!$G$47+$D130*'Коэффициенты (ПС)'!$G$48+$D129*'Коэффициенты (ПС)'!$G$49+$D128*'Коэффициенты (ПС)'!$G$50+$D127*'Коэффициенты (ПС)'!$G$51+$D126*'Коэффициенты (ПС)'!$G$52+$D125*'Коэффициенты (ПС)'!$G$53+$D124*'Коэффициенты (ПС)'!$G$54+$D123*'Коэффициенты (ПС)'!$G$55+$D122*'Коэффициенты (ПС)'!$G$56+$D121*'Коэффициенты (ПС)'!$G$57+$D120*'Коэффициенты (ПС)'!$G$58+$D119*'Коэффициенты (ПС)'!$G$59+$D118*'Коэффициенты (ПС)'!$G$60+$D117*'Коэффициенты (ПС)'!$G$61+$D116*'Коэффициенты (ПС)'!$G$62+$D115*'Коэффициенты (ПС)'!$G$63+$D114*'Коэффициенты (ПС)'!$G$64+$D113*'Коэффициенты (ПС)'!$G$65+$D112*'Коэффициенты (ПС)'!$G$66+$D111*'Коэффициенты (ПС)'!$G$67</f>
        <v>1772.4714445976917</v>
      </c>
      <c r="F171" s="37">
        <f>$D170*'Коэффициенты (БЛ)'!$G$7+Расчет!$D169*'Коэффициенты (БЛ)'!$G$8+$D168*'Коэффициенты (БЛ)'!$G$9+$D167*'Коэффициенты (БЛ)'!$G$10+$D166*'Коэффициенты (БЛ)'!$G$11+$D165*'Коэффициенты (БЛ)'!$G$12+$D164*'Коэффициенты (БЛ)'!$G$13+$D163*'Коэффициенты (БЛ)'!$G$14+$D162*'Коэффициенты (БЛ)'!$G$15+$D161*'Коэффициенты (БЛ)'!$G$16+$D160*'Коэффициенты (БЛ)'!$G$17+$D159*'Коэффициенты (БЛ)'!$G$18+$D158*'Коэффициенты (БЛ)'!$G$19+$D157*'Коэффициенты (БЛ)'!$G$20+$D156*'Коэффициенты (БЛ)'!$G$21+$D155*'Коэффициенты (БЛ)'!$G$22+$D154*'Коэффициенты (БЛ)'!$G$23+$D153*'Коэффициенты (БЛ)'!$G$24+$D152*'Коэффициенты (БЛ)'!$G$25+$D151*'Коэффициенты (БЛ)'!$G$26+$D150*'Коэффициенты (БЛ)'!$G$27+$D149*'Коэффициенты (БЛ)'!$G$28+$D148*'Коэффициенты (БЛ)'!$G$29+$D147*'Коэффициенты (БЛ)'!$G$30+$D146*'Коэффициенты (БЛ)'!$G$31+$D145*'Коэффициенты (БЛ)'!$G$32+$D144*'Коэффициенты (БЛ)'!$G$33+$D143*'Коэффициенты (БЛ)'!$G$34+$D142*'Коэффициенты (БЛ)'!$G$35+$D141*'Коэффициенты (БЛ)'!$G$36+$D140*'Коэффициенты (БЛ)'!$G$37+$D139*'Коэффициенты (БЛ)'!$G$38+$D138*'Коэффициенты (БЛ)'!$G$39+$D137*'Коэффициенты (БЛ)'!$G$40+$D136*'Коэффициенты (БЛ)'!$G$41+$D135*'Коэффициенты (БЛ)'!$G$42+$D134*'Коэффициенты (БЛ)'!$G$43+$D133*'Коэффициенты (БЛ)'!$G$44+$D132*'Коэффициенты (БЛ)'!$G$45+$D131*'Коэффициенты (БЛ)'!$G$46+$D130*'Коэффициенты (БЛ)'!$G$47+$D129*'Коэффициенты (БЛ)'!$G$48+$D128*'Коэффициенты (БЛ)'!$G$49+$D127*'Коэффициенты (БЛ)'!$G$50+$D126*'Коэффициенты (БЛ)'!$G$51+$D125*'Коэффициенты (БЛ)'!$G$52+$D124*'Коэффициенты (БЛ)'!$G$53+$D123*'Коэффициенты (БЛ)'!$G$54+$D122*'Коэффициенты (БЛ)'!$G$55+$D121*'Коэффициенты (БЛ)'!$G$56+$D120*'Коэффициенты (БЛ)'!$G$57+$D119*'Коэффициенты (БЛ)'!$G$58+$D118*'Коэффициенты (БЛ)'!$G$59+$D117*'Коэффициенты (БЛ)'!$G$60+$D116*'Коэффициенты (БЛ)'!$G$61+$D115*'Коэффициенты (БЛ)'!$G$62+$D114*'Коэффициенты (БЛ)'!$G$63+$D113*'Коэффициенты (БЛ)'!$G$64+$D112*'Коэффициенты (БЛ)'!$G$65+$D111*'Коэффициенты (БЛ)'!$G$66</f>
        <v>46.387697810523356</v>
      </c>
      <c r="G171" s="43">
        <v>1</v>
      </c>
      <c r="H171" s="43">
        <f t="shared" si="10"/>
        <v>1772.4714445976917</v>
      </c>
      <c r="I171" s="43">
        <f t="shared" si="11"/>
        <v>46.387697810523356</v>
      </c>
    </row>
    <row r="172" spans="2:9" ht="18" customHeight="1" x14ac:dyDescent="0.35">
      <c r="B172" s="49"/>
      <c r="C172" s="36">
        <v>9</v>
      </c>
      <c r="D172" s="37">
        <f>'Обработка руды'!E146</f>
        <v>0</v>
      </c>
      <c r="E172" s="37">
        <f>$D171*'Коэффициенты (ПС)'!$G$8+Расчет!$D170*'Коэффициенты (ПС)'!$G$9+$D169*'Коэффициенты (ПС)'!$G$10+$D168*'Коэффициенты (ПС)'!$G$11+$D167*'Коэффициенты (ПС)'!$G$12+$D166*'Коэффициенты (ПС)'!$G$13+$D165*'Коэффициенты (ПС)'!$G$14+$D164*'Коэффициенты (ПС)'!$G$15+$D163*'Коэффициенты (ПС)'!$G$16+$D162*'Коэффициенты (ПС)'!$G$17+$D161*'Коэффициенты (ПС)'!$G$18+$D160*'Коэффициенты (ПС)'!$G$19+$D159*'Коэффициенты (ПС)'!$G$20+$D158*'Коэффициенты (ПС)'!$G$21+$D157*'Коэффициенты (ПС)'!$G$22+$D156*'Коэффициенты (ПС)'!$G$23+$D155*'Коэффициенты (ПС)'!$G$24+$D154*'Коэффициенты (ПС)'!$G$25+$D153*'Коэффициенты (ПС)'!$G$26+$D152*'Коэффициенты (ПС)'!$G$27+$D151*'Коэффициенты (ПС)'!$G$28+$D150*'Коэффициенты (ПС)'!$G$29+$D149*'Коэффициенты (ПС)'!$G$30+$D148*'Коэффициенты (ПС)'!$G$31+$D147*'Коэффициенты (ПС)'!$G$32+$D146*'Коэффициенты (ПС)'!$G$33+$D145*'Коэффициенты (ПС)'!$G$34+$D144*'Коэффициенты (ПС)'!$G$35+$D143*'Коэффициенты (ПС)'!$G$36+$D142*'Коэффициенты (ПС)'!$G$37+$D141*'Коэффициенты (ПС)'!$G$38+$D140*'Коэффициенты (ПС)'!$G$39+$D139*'Коэффициенты (ПС)'!$G$40+$D138*'Коэффициенты (ПС)'!$G$41+$D137*'Коэффициенты (ПС)'!$G$42+$D136*'Коэффициенты (ПС)'!$G$43+$D135*'Коэффициенты (ПС)'!$G$44+$D134*'Коэффициенты (ПС)'!$G$45+$D133*'Коэффициенты (ПС)'!$G$46+$D132*'Коэффициенты (ПС)'!$G$47+$D131*'Коэффициенты (ПС)'!$G$48+$D130*'Коэффициенты (ПС)'!$G$49+$D129*'Коэффициенты (ПС)'!$G$50+$D128*'Коэффициенты (ПС)'!$G$51+$D127*'Коэффициенты (ПС)'!$G$52+$D126*'Коэффициенты (ПС)'!$G$53+$D125*'Коэффициенты (ПС)'!$G$54+$D124*'Коэффициенты (ПС)'!$G$55+$D123*'Коэффициенты (ПС)'!$G$56+$D122*'Коэффициенты (ПС)'!$G$57+$D121*'Коэффициенты (ПС)'!$G$58+$D120*'Коэффициенты (ПС)'!$G$59+$D119*'Коэффициенты (ПС)'!$G$60+$D118*'Коэффициенты (ПС)'!$G$61+$D117*'Коэффициенты (ПС)'!$G$62+$D116*'Коэффициенты (ПС)'!$G$63+$D115*'Коэффициенты (ПС)'!$G$64+$D114*'Коэффициенты (ПС)'!$G$65+$D113*'Коэффициенты (ПС)'!$G$66+$D112*'Коэффициенты (ПС)'!$G$67</f>
        <v>1712.0064189407619</v>
      </c>
      <c r="F172" s="37">
        <f>$D171*'Коэффициенты (БЛ)'!$G$7+Расчет!$D170*'Коэффициенты (БЛ)'!$G$8+$D169*'Коэффициенты (БЛ)'!$G$9+$D168*'Коэффициенты (БЛ)'!$G$10+$D167*'Коэффициенты (БЛ)'!$G$11+$D166*'Коэффициенты (БЛ)'!$G$12+$D165*'Коэффициенты (БЛ)'!$G$13+$D164*'Коэффициенты (БЛ)'!$G$14+$D163*'Коэффициенты (БЛ)'!$G$15+$D162*'Коэффициенты (БЛ)'!$G$16+$D161*'Коэффициенты (БЛ)'!$G$17+$D160*'Коэффициенты (БЛ)'!$G$18+$D159*'Коэффициенты (БЛ)'!$G$19+$D158*'Коэффициенты (БЛ)'!$G$20+$D157*'Коэффициенты (БЛ)'!$G$21+$D156*'Коэффициенты (БЛ)'!$G$22+$D155*'Коэффициенты (БЛ)'!$G$23+$D154*'Коэффициенты (БЛ)'!$G$24+$D153*'Коэффициенты (БЛ)'!$G$25+$D152*'Коэффициенты (БЛ)'!$G$26+$D151*'Коэффициенты (БЛ)'!$G$27+$D150*'Коэффициенты (БЛ)'!$G$28+$D149*'Коэффициенты (БЛ)'!$G$29+$D148*'Коэффициенты (БЛ)'!$G$30+$D147*'Коэффициенты (БЛ)'!$G$31+$D146*'Коэффициенты (БЛ)'!$G$32+$D145*'Коэффициенты (БЛ)'!$G$33+$D144*'Коэффициенты (БЛ)'!$G$34+$D143*'Коэффициенты (БЛ)'!$G$35+$D142*'Коэффициенты (БЛ)'!$G$36+$D141*'Коэффициенты (БЛ)'!$G$37+$D140*'Коэффициенты (БЛ)'!$G$38+$D139*'Коэффициенты (БЛ)'!$G$39+$D138*'Коэффициенты (БЛ)'!$G$40+$D137*'Коэффициенты (БЛ)'!$G$41+$D136*'Коэффициенты (БЛ)'!$G$42+$D135*'Коэффициенты (БЛ)'!$G$43+$D134*'Коэффициенты (БЛ)'!$G$44+$D133*'Коэффициенты (БЛ)'!$G$45+$D132*'Коэффициенты (БЛ)'!$G$46+$D131*'Коэффициенты (БЛ)'!$G$47+$D130*'Коэффициенты (БЛ)'!$G$48+$D129*'Коэффициенты (БЛ)'!$G$49+$D128*'Коэффициенты (БЛ)'!$G$50+$D127*'Коэффициенты (БЛ)'!$G$51+$D126*'Коэффициенты (БЛ)'!$G$52+$D125*'Коэффициенты (БЛ)'!$G$53+$D124*'Коэффициенты (БЛ)'!$G$54+$D123*'Коэффициенты (БЛ)'!$G$55+$D122*'Коэффициенты (БЛ)'!$G$56+$D121*'Коэффициенты (БЛ)'!$G$57+$D120*'Коэффициенты (БЛ)'!$G$58+$D119*'Коэффициенты (БЛ)'!$G$59+$D118*'Коэффициенты (БЛ)'!$G$60+$D117*'Коэффициенты (БЛ)'!$G$61+$D116*'Коэффициенты (БЛ)'!$G$62+$D115*'Коэффициенты (БЛ)'!$G$63+$D114*'Коэффициенты (БЛ)'!$G$64+$D113*'Коэффициенты (БЛ)'!$G$65+$D112*'Коэффициенты (БЛ)'!$G$66</f>
        <v>44.805255765079913</v>
      </c>
      <c r="G172" s="43">
        <v>1</v>
      </c>
      <c r="H172" s="43">
        <f t="shared" si="10"/>
        <v>1712.0064189407619</v>
      </c>
      <c r="I172" s="43">
        <f t="shared" si="11"/>
        <v>44.805255765079913</v>
      </c>
    </row>
    <row r="173" spans="2:9" ht="18" customHeight="1" x14ac:dyDescent="0.35">
      <c r="B173" s="49"/>
      <c r="C173" s="36">
        <v>10</v>
      </c>
      <c r="D173" s="37">
        <f>'Обработка руды'!E147</f>
        <v>0</v>
      </c>
      <c r="E173" s="37">
        <f>$D172*'Коэффициенты (ПС)'!$G$8+Расчет!$D171*'Коэффициенты (ПС)'!$G$9+$D170*'Коэффициенты (ПС)'!$G$10+$D169*'Коэффициенты (ПС)'!$G$11+$D168*'Коэффициенты (ПС)'!$G$12+$D167*'Коэффициенты (ПС)'!$G$13+$D166*'Коэффициенты (ПС)'!$G$14+$D165*'Коэффициенты (ПС)'!$G$15+$D164*'Коэффициенты (ПС)'!$G$16+$D163*'Коэффициенты (ПС)'!$G$17+$D162*'Коэффициенты (ПС)'!$G$18+$D161*'Коэффициенты (ПС)'!$G$19+$D160*'Коэффициенты (ПС)'!$G$20+$D159*'Коэффициенты (ПС)'!$G$21+$D158*'Коэффициенты (ПС)'!$G$22+$D157*'Коэффициенты (ПС)'!$G$23+$D156*'Коэффициенты (ПС)'!$G$24+$D155*'Коэффициенты (ПС)'!$G$25+$D154*'Коэффициенты (ПС)'!$G$26+$D153*'Коэффициенты (ПС)'!$G$27+$D152*'Коэффициенты (ПС)'!$G$28+$D151*'Коэффициенты (ПС)'!$G$29+$D150*'Коэффициенты (ПС)'!$G$30+$D149*'Коэффициенты (ПС)'!$G$31+$D148*'Коэффициенты (ПС)'!$G$32+$D147*'Коэффициенты (ПС)'!$G$33+$D146*'Коэффициенты (ПС)'!$G$34+$D145*'Коэффициенты (ПС)'!$G$35+$D144*'Коэффициенты (ПС)'!$G$36+$D143*'Коэффициенты (ПС)'!$G$37+$D142*'Коэффициенты (ПС)'!$G$38+$D141*'Коэффициенты (ПС)'!$G$39+$D140*'Коэффициенты (ПС)'!$G$40+$D139*'Коэффициенты (ПС)'!$G$41+$D138*'Коэффициенты (ПС)'!$G$42+$D137*'Коэффициенты (ПС)'!$G$43+$D136*'Коэффициенты (ПС)'!$G$44+$D135*'Коэффициенты (ПС)'!$G$45+$D134*'Коэффициенты (ПС)'!$G$46+$D133*'Коэффициенты (ПС)'!$G$47+$D132*'Коэффициенты (ПС)'!$G$48+$D131*'Коэффициенты (ПС)'!$G$49+$D130*'Коэффициенты (ПС)'!$G$50+$D129*'Коэффициенты (ПС)'!$G$51+$D128*'Коэффициенты (ПС)'!$G$52+$D127*'Коэффициенты (ПС)'!$G$53+$D126*'Коэффициенты (ПС)'!$G$54+$D125*'Коэффициенты (ПС)'!$G$55+$D124*'Коэффициенты (ПС)'!$G$56+$D123*'Коэффициенты (ПС)'!$G$57+$D122*'Коэффициенты (ПС)'!$G$58+$D121*'Коэффициенты (ПС)'!$G$59+$D120*'Коэффициенты (ПС)'!$G$60+$D119*'Коэффициенты (ПС)'!$G$61+$D118*'Коэффициенты (ПС)'!$G$62+$D117*'Коэффициенты (ПС)'!$G$63+$D116*'Коэффициенты (ПС)'!$G$64+$D115*'Коэффициенты (ПС)'!$G$65+$D114*'Коэффициенты (ПС)'!$G$66+$D113*'Коэффициенты (ПС)'!$G$67</f>
        <v>1674.9710173330727</v>
      </c>
      <c r="F173" s="37">
        <f>$D172*'Коэффициенты (БЛ)'!$G$7+Расчет!$D171*'Коэффициенты (БЛ)'!$G$8+$D170*'Коэффициенты (БЛ)'!$G$9+$D169*'Коэффициенты (БЛ)'!$G$10+$D168*'Коэффициенты (БЛ)'!$G$11+$D167*'Коэффициенты (БЛ)'!$G$12+$D166*'Коэффициенты (БЛ)'!$G$13+$D165*'Коэффициенты (БЛ)'!$G$14+$D164*'Коэффициенты (БЛ)'!$G$15+$D163*'Коэффициенты (БЛ)'!$G$16+$D162*'Коэффициенты (БЛ)'!$G$17+$D161*'Коэффициенты (БЛ)'!$G$18+$D160*'Коэффициенты (БЛ)'!$G$19+$D159*'Коэффициенты (БЛ)'!$G$20+$D158*'Коэффициенты (БЛ)'!$G$21+$D157*'Коэффициенты (БЛ)'!$G$22+$D156*'Коэффициенты (БЛ)'!$G$23+$D155*'Коэффициенты (БЛ)'!$G$24+$D154*'Коэффициенты (БЛ)'!$G$25+$D153*'Коэффициенты (БЛ)'!$G$26+$D152*'Коэффициенты (БЛ)'!$G$27+$D151*'Коэффициенты (БЛ)'!$G$28+$D150*'Коэффициенты (БЛ)'!$G$29+$D149*'Коэффициенты (БЛ)'!$G$30+$D148*'Коэффициенты (БЛ)'!$G$31+$D147*'Коэффициенты (БЛ)'!$G$32+$D146*'Коэффициенты (БЛ)'!$G$33+$D145*'Коэффициенты (БЛ)'!$G$34+$D144*'Коэффициенты (БЛ)'!$G$35+$D143*'Коэффициенты (БЛ)'!$G$36+$D142*'Коэффициенты (БЛ)'!$G$37+$D141*'Коэффициенты (БЛ)'!$G$38+$D140*'Коэффициенты (БЛ)'!$G$39+$D139*'Коэффициенты (БЛ)'!$G$40+$D138*'Коэффициенты (БЛ)'!$G$41+$D137*'Коэффициенты (БЛ)'!$G$42+$D136*'Коэффициенты (БЛ)'!$G$43+$D135*'Коэффициенты (БЛ)'!$G$44+$D134*'Коэффициенты (БЛ)'!$G$45+$D133*'Коэффициенты (БЛ)'!$G$46+$D132*'Коэффициенты (БЛ)'!$G$47+$D131*'Коэффициенты (БЛ)'!$G$48+$D130*'Коэффициенты (БЛ)'!$G$49+$D129*'Коэффициенты (БЛ)'!$G$50+$D128*'Коэффициенты (БЛ)'!$G$51+$D127*'Коэффициенты (БЛ)'!$G$52+$D126*'Коэффициенты (БЛ)'!$G$53+$D125*'Коэффициенты (БЛ)'!$G$54+$D124*'Коэффициенты (БЛ)'!$G$55+$D123*'Коэффициенты (БЛ)'!$G$56+$D122*'Коэффициенты (БЛ)'!$G$57+$D121*'Коэффициенты (БЛ)'!$G$58+$D120*'Коэффициенты (БЛ)'!$G$59+$D119*'Коэффициенты (БЛ)'!$G$60+$D118*'Коэффициенты (БЛ)'!$G$61+$D117*'Коэффициенты (БЛ)'!$G$62+$D116*'Коэффициенты (БЛ)'!$G$63+$D115*'Коэффициенты (БЛ)'!$G$64+$D114*'Коэффициенты (БЛ)'!$G$65+$D113*'Коэффициенты (БЛ)'!$G$66</f>
        <v>43.835995005869798</v>
      </c>
      <c r="G173" s="43">
        <v>1</v>
      </c>
      <c r="H173" s="43">
        <f t="shared" si="10"/>
        <v>1674.9710173330727</v>
      </c>
      <c r="I173" s="43">
        <f t="shared" si="11"/>
        <v>43.835995005869798</v>
      </c>
    </row>
    <row r="174" spans="2:9" ht="18" customHeight="1" x14ac:dyDescent="0.35">
      <c r="B174" s="49"/>
      <c r="C174" s="36">
        <v>11</v>
      </c>
      <c r="D174" s="37">
        <f>'Обработка руды'!E148</f>
        <v>76819.539739338827</v>
      </c>
      <c r="E174" s="37">
        <f>$D173*'Коэффициенты (ПС)'!$G$8+Расчет!$D172*'Коэффициенты (ПС)'!$G$9+$D171*'Коэффициенты (ПС)'!$G$10+$D170*'Коэффициенты (ПС)'!$G$11+$D169*'Коэффициенты (ПС)'!$G$12+$D168*'Коэффициенты (ПС)'!$G$13+$D167*'Коэффициенты (ПС)'!$G$14+$D166*'Коэффициенты (ПС)'!$G$15+$D165*'Коэффициенты (ПС)'!$G$16+$D164*'Коэффициенты (ПС)'!$G$17+$D163*'Коэффициенты (ПС)'!$G$18+$D162*'Коэффициенты (ПС)'!$G$19+$D161*'Коэффициенты (ПС)'!$G$20+$D160*'Коэффициенты (ПС)'!$G$21+$D159*'Коэффициенты (ПС)'!$G$22+$D158*'Коэффициенты (ПС)'!$G$23+$D157*'Коэффициенты (ПС)'!$G$24+$D156*'Коэффициенты (ПС)'!$G$25+$D155*'Коэффициенты (ПС)'!$G$26+$D154*'Коэффициенты (ПС)'!$G$27+$D153*'Коэффициенты (ПС)'!$G$28+$D152*'Коэффициенты (ПС)'!$G$29+$D151*'Коэффициенты (ПС)'!$G$30+$D150*'Коэффициенты (ПС)'!$G$31+$D149*'Коэффициенты (ПС)'!$G$32+$D148*'Коэффициенты (ПС)'!$G$33+$D147*'Коэффициенты (ПС)'!$G$34+$D146*'Коэффициенты (ПС)'!$G$35+$D145*'Коэффициенты (ПС)'!$G$36+$D144*'Коэффициенты (ПС)'!$G$37+$D143*'Коэффициенты (ПС)'!$G$38+$D142*'Коэффициенты (ПС)'!$G$39+$D141*'Коэффициенты (ПС)'!$G$40+$D140*'Коэффициенты (ПС)'!$G$41+$D139*'Коэффициенты (ПС)'!$G$42+$D138*'Коэффициенты (ПС)'!$G$43+$D137*'Коэффициенты (ПС)'!$G$44+$D136*'Коэффициенты (ПС)'!$G$45+$D135*'Коэффициенты (ПС)'!$G$46+$D134*'Коэффициенты (ПС)'!$G$47+$D133*'Коэффициенты (ПС)'!$G$48+$D132*'Коэффициенты (ПС)'!$G$49+$D131*'Коэффициенты (ПС)'!$G$50+$D130*'Коэффициенты (ПС)'!$G$51+$D129*'Коэффициенты (ПС)'!$G$52+$D128*'Коэффициенты (ПС)'!$G$53+$D127*'Коэффициенты (ПС)'!$G$54+$D126*'Коэффициенты (ПС)'!$G$55+$D125*'Коэффициенты (ПС)'!$G$56+$D124*'Коэффициенты (ПС)'!$G$57+$D123*'Коэффициенты (ПС)'!$G$58+$D122*'Коэффициенты (ПС)'!$G$59+$D121*'Коэффициенты (ПС)'!$G$60+$D120*'Коэффициенты (ПС)'!$G$61+$D119*'Коэффициенты (ПС)'!$G$62+$D118*'Коэффициенты (ПС)'!$G$63+$D117*'Коэффициенты (ПС)'!$G$64+$D116*'Коэффициенты (ПС)'!$G$65+$D115*'Коэффициенты (ПС)'!$G$66+$D114*'Коэффициенты (ПС)'!$G$67</f>
        <v>1602.8422825971777</v>
      </c>
      <c r="F174" s="37">
        <f>$D173*'Коэффициенты (БЛ)'!$G$7+Расчет!$D172*'Коэффициенты (БЛ)'!$G$8+$D171*'Коэффициенты (БЛ)'!$G$9+$D170*'Коэффициенты (БЛ)'!$G$10+$D169*'Коэффициенты (БЛ)'!$G$11+$D168*'Коэффициенты (БЛ)'!$G$12+$D167*'Коэффициенты (БЛ)'!$G$13+$D166*'Коэффициенты (БЛ)'!$G$14+$D165*'Коэффициенты (БЛ)'!$G$15+$D164*'Коэффициенты (БЛ)'!$G$16+$D163*'Коэффициенты (БЛ)'!$G$17+$D162*'Коэффициенты (БЛ)'!$G$18+$D161*'Коэффициенты (БЛ)'!$G$19+$D160*'Коэффициенты (БЛ)'!$G$20+$D159*'Коэффициенты (БЛ)'!$G$21+$D158*'Коэффициенты (БЛ)'!$G$22+$D157*'Коэффициенты (БЛ)'!$G$23+$D156*'Коэффициенты (БЛ)'!$G$24+$D155*'Коэффициенты (БЛ)'!$G$25+$D154*'Коэффициенты (БЛ)'!$G$26+$D153*'Коэффициенты (БЛ)'!$G$27+$D152*'Коэффициенты (БЛ)'!$G$28+$D151*'Коэффициенты (БЛ)'!$G$29+$D150*'Коэффициенты (БЛ)'!$G$30+$D149*'Коэффициенты (БЛ)'!$G$31+$D148*'Коэффициенты (БЛ)'!$G$32+$D147*'Коэффициенты (БЛ)'!$G$33+$D146*'Коэффициенты (БЛ)'!$G$34+$D145*'Коэффициенты (БЛ)'!$G$35+$D144*'Коэффициенты (БЛ)'!$G$36+$D143*'Коэффициенты (БЛ)'!$G$37+$D142*'Коэффициенты (БЛ)'!$G$38+$D141*'Коэффициенты (БЛ)'!$G$39+$D140*'Коэффициенты (БЛ)'!$G$40+$D139*'Коэффициенты (БЛ)'!$G$41+$D138*'Коэффициенты (БЛ)'!$G$42+$D137*'Коэффициенты (БЛ)'!$G$43+$D136*'Коэффициенты (БЛ)'!$G$44+$D135*'Коэффициенты (БЛ)'!$G$45+$D134*'Коэффициенты (БЛ)'!$G$46+$D133*'Коэффициенты (БЛ)'!$G$47+$D132*'Коэффициенты (БЛ)'!$G$48+$D131*'Коэффициенты (БЛ)'!$G$49+$D130*'Коэффициенты (БЛ)'!$G$50+$D129*'Коэффициенты (БЛ)'!$G$51+$D128*'Коэффициенты (БЛ)'!$G$52+$D127*'Коэффициенты (БЛ)'!$G$53+$D126*'Коэффициенты (БЛ)'!$G$54+$D125*'Коэффициенты (БЛ)'!$G$55+$D124*'Коэффициенты (БЛ)'!$G$56+$D123*'Коэффициенты (БЛ)'!$G$57+$D122*'Коэффициенты (БЛ)'!$G$58+$D121*'Коэффициенты (БЛ)'!$G$59+$D120*'Коэффициенты (БЛ)'!$G$60+$D119*'Коэффициенты (БЛ)'!$G$61+$D118*'Коэффициенты (БЛ)'!$G$62+$D117*'Коэффициенты (БЛ)'!$G$63+$D116*'Коэффициенты (БЛ)'!$G$64+$D115*'Коэффициенты (БЛ)'!$G$65+$D114*'Коэффициенты (БЛ)'!$G$66</f>
        <v>41.94829974252341</v>
      </c>
      <c r="G174" s="43">
        <v>1</v>
      </c>
      <c r="H174" s="43">
        <f t="shared" si="10"/>
        <v>1602.8422825971777</v>
      </c>
      <c r="I174" s="43">
        <f t="shared" si="11"/>
        <v>41.94829974252341</v>
      </c>
    </row>
    <row r="175" spans="2:9" ht="18" customHeight="1" x14ac:dyDescent="0.35">
      <c r="B175" s="49"/>
      <c r="C175" s="36">
        <v>12</v>
      </c>
      <c r="D175" s="37">
        <f>'Обработка руды'!E149</f>
        <v>154623.94537277173</v>
      </c>
      <c r="E175" s="37">
        <f>$D174*'Коэффициенты (ПС)'!$G$8+Расчет!$D173*'Коэффициенты (ПС)'!$G$9+$D172*'Коэффициенты (ПС)'!$G$10+$D171*'Коэффициенты (ПС)'!$G$11+$D170*'Коэффициенты (ПС)'!$G$12+$D169*'Коэффициенты (ПС)'!$G$13+$D168*'Коэффициенты (ПС)'!$G$14+$D167*'Коэффициенты (ПС)'!$G$15+$D166*'Коэффициенты (ПС)'!$G$16+$D165*'Коэффициенты (ПС)'!$G$17+$D164*'Коэффициенты (ПС)'!$G$18+$D163*'Коэффициенты (ПС)'!$G$19+$D162*'Коэффициенты (ПС)'!$G$20+$D161*'Коэффициенты (ПС)'!$G$21+$D160*'Коэффициенты (ПС)'!$G$22+$D159*'Коэффициенты (ПС)'!$G$23+$D158*'Коэффициенты (ПС)'!$G$24+$D157*'Коэффициенты (ПС)'!$G$25+$D156*'Коэффициенты (ПС)'!$G$26+$D155*'Коэффициенты (ПС)'!$G$27+$D154*'Коэффициенты (ПС)'!$G$28+$D153*'Коэффициенты (ПС)'!$G$29+$D152*'Коэффициенты (ПС)'!$G$30+$D151*'Коэффициенты (ПС)'!$G$31+$D150*'Коэффициенты (ПС)'!$G$32+$D149*'Коэффициенты (ПС)'!$G$33+$D148*'Коэффициенты (ПС)'!$G$34+$D147*'Коэффициенты (ПС)'!$G$35+$D146*'Коэффициенты (ПС)'!$G$36+$D145*'Коэффициенты (ПС)'!$G$37+$D144*'Коэффициенты (ПС)'!$G$38+$D143*'Коэффициенты (ПС)'!$G$39+$D142*'Коэффициенты (ПС)'!$G$40+$D141*'Коэффициенты (ПС)'!$G$41+$D140*'Коэффициенты (ПС)'!$G$42+$D139*'Коэффициенты (ПС)'!$G$43+$D138*'Коэффициенты (ПС)'!$G$44+$D137*'Коэффициенты (ПС)'!$G$45+$D136*'Коэффициенты (ПС)'!$G$46+$D135*'Коэффициенты (ПС)'!$G$47+$D134*'Коэффициенты (ПС)'!$G$48+$D133*'Коэффициенты (ПС)'!$G$49+$D132*'Коэффициенты (ПС)'!$G$50+$D131*'Коэффициенты (ПС)'!$G$51+$D130*'Коэффициенты (ПС)'!$G$52+$D129*'Коэффициенты (ПС)'!$G$53+$D128*'Коэффициенты (ПС)'!$G$54+$D127*'Коэффициенты (ПС)'!$G$55+$D126*'Коэффициенты (ПС)'!$G$56+$D125*'Коэффициенты (ПС)'!$G$57+$D124*'Коэффициенты (ПС)'!$G$58+$D123*'Коэффициенты (ПС)'!$G$59+$D122*'Коэффициенты (ПС)'!$G$60+$D121*'Коэффициенты (ПС)'!$G$61+$D120*'Коэффициенты (ПС)'!$G$62+$D119*'Коэффициенты (ПС)'!$G$63+$D118*'Коэффициенты (ПС)'!$G$64+$D117*'Коэффициенты (ПС)'!$G$65+$D116*'Коэффициенты (ПС)'!$G$66+$D115*'Коэффициенты (ПС)'!$G$67</f>
        <v>2401.5821080016017</v>
      </c>
      <c r="F175" s="37">
        <f>$D174*'Коэффициенты (БЛ)'!$G$7+Расчет!$D173*'Коэффициенты (БЛ)'!$G$8+$D172*'Коэффициенты (БЛ)'!$G$9+$D171*'Коэффициенты (БЛ)'!$G$10+$D170*'Коэффициенты (БЛ)'!$G$11+$D169*'Коэффициенты (БЛ)'!$G$12+$D168*'Коэффициенты (БЛ)'!$G$13+$D167*'Коэффициенты (БЛ)'!$G$14+$D166*'Коэффициенты (БЛ)'!$G$15+$D165*'Коэффициенты (БЛ)'!$G$16+$D164*'Коэффициенты (БЛ)'!$G$17+$D163*'Коэффициенты (БЛ)'!$G$18+$D162*'Коэффициенты (БЛ)'!$G$19+$D161*'Коэффициенты (БЛ)'!$G$20+$D160*'Коэффициенты (БЛ)'!$G$21+$D159*'Коэффициенты (БЛ)'!$G$22+$D158*'Коэффициенты (БЛ)'!$G$23+$D157*'Коэффициенты (БЛ)'!$G$24+$D156*'Коэффициенты (БЛ)'!$G$25+$D155*'Коэффициенты (БЛ)'!$G$26+$D154*'Коэффициенты (БЛ)'!$G$27+$D153*'Коэффициенты (БЛ)'!$G$28+$D152*'Коэффициенты (БЛ)'!$G$29+$D151*'Коэффициенты (БЛ)'!$G$30+$D150*'Коэффициенты (БЛ)'!$G$31+$D149*'Коэффициенты (БЛ)'!$G$32+$D148*'Коэффициенты (БЛ)'!$G$33+$D147*'Коэффициенты (БЛ)'!$G$34+$D146*'Коэффициенты (БЛ)'!$G$35+$D145*'Коэффициенты (БЛ)'!$G$36+$D144*'Коэффициенты (БЛ)'!$G$37+$D143*'Коэффициенты (БЛ)'!$G$38+$D142*'Коэффициенты (БЛ)'!$G$39+$D141*'Коэффициенты (БЛ)'!$G$40+$D140*'Коэффициенты (БЛ)'!$G$41+$D139*'Коэффициенты (БЛ)'!$G$42+$D138*'Коэффициенты (БЛ)'!$G$43+$D137*'Коэффициенты (БЛ)'!$G$44+$D136*'Коэффициенты (БЛ)'!$G$45+$D135*'Коэффициенты (БЛ)'!$G$46+$D134*'Коэффициенты (БЛ)'!$G$47+$D133*'Коэффициенты (БЛ)'!$G$48+$D132*'Коэффициенты (БЛ)'!$G$49+$D131*'Коэффициенты (БЛ)'!$G$50+$D130*'Коэффициенты (БЛ)'!$G$51+$D129*'Коэффициенты (БЛ)'!$G$52+$D128*'Коэффициенты (БЛ)'!$G$53+$D127*'Коэффициенты (БЛ)'!$G$54+$D126*'Коэффициенты (БЛ)'!$G$55+$D125*'Коэффициенты (БЛ)'!$G$56+$D124*'Коэффициенты (БЛ)'!$G$57+$D123*'Коэффициенты (БЛ)'!$G$58+$D122*'Коэффициенты (БЛ)'!$G$59+$D121*'Коэффициенты (БЛ)'!$G$60+$D120*'Коэффициенты (БЛ)'!$G$61+$D119*'Коэффициенты (БЛ)'!$G$62+$D118*'Коэффициенты (БЛ)'!$G$63+$D117*'Коэффициенты (БЛ)'!$G$64+$D116*'Коэффициенты (БЛ)'!$G$65+$D115*'Коэффициенты (БЛ)'!$G$66</f>
        <v>62.852276369633621</v>
      </c>
      <c r="G175" s="43">
        <v>1</v>
      </c>
      <c r="H175" s="43">
        <f t="shared" si="10"/>
        <v>2401.5821080016017</v>
      </c>
      <c r="I175" s="43">
        <f t="shared" si="11"/>
        <v>62.852276369633621</v>
      </c>
    </row>
    <row r="176" spans="2:9" ht="18" customHeight="1" x14ac:dyDescent="0.35">
      <c r="B176" s="49">
        <v>2038</v>
      </c>
      <c r="C176" s="36">
        <v>1</v>
      </c>
      <c r="D176" s="37">
        <f>'Обработка руды'!E150</f>
        <v>0</v>
      </c>
      <c r="E176" s="37">
        <f>$D175*'Коэффициенты (ПС)'!$G$8+Расчет!$D174*'Коэффициенты (ПС)'!$G$9+$D173*'Коэффициенты (ПС)'!$G$10+$D172*'Коэффициенты (ПС)'!$G$11+$D171*'Коэффициенты (ПС)'!$G$12+$D170*'Коэффициенты (ПС)'!$G$13+$D169*'Коэффициенты (ПС)'!$G$14+$D168*'Коэффициенты (ПС)'!$G$15+$D167*'Коэффициенты (ПС)'!$G$16+$D166*'Коэффициенты (ПС)'!$G$17+$D165*'Коэффициенты (ПС)'!$G$18+$D164*'Коэффициенты (ПС)'!$G$19+$D163*'Коэффициенты (ПС)'!$G$20+$D162*'Коэффициенты (ПС)'!$G$21+$D161*'Коэффициенты (ПС)'!$G$22+$D160*'Коэффициенты (ПС)'!$G$23+$D159*'Коэффициенты (ПС)'!$G$24+$D158*'Коэффициенты (ПС)'!$G$25+$D157*'Коэффициенты (ПС)'!$G$26+$D156*'Коэффициенты (ПС)'!$G$27+$D155*'Коэффициенты (ПС)'!$G$28+$D154*'Коэффициенты (ПС)'!$G$29+$D153*'Коэффициенты (ПС)'!$G$30+$D152*'Коэффициенты (ПС)'!$G$31+$D151*'Коэффициенты (ПС)'!$G$32+$D150*'Коэффициенты (ПС)'!$G$33+$D149*'Коэффициенты (ПС)'!$G$34+$D148*'Коэффициенты (ПС)'!$G$35+$D147*'Коэффициенты (ПС)'!$G$36+$D146*'Коэффициенты (ПС)'!$G$37+$D145*'Коэффициенты (ПС)'!$G$38+$D144*'Коэффициенты (ПС)'!$G$39+$D143*'Коэффициенты (ПС)'!$G$40+$D142*'Коэффициенты (ПС)'!$G$41+$D141*'Коэффициенты (ПС)'!$G$42+$D140*'Коэффициенты (ПС)'!$G$43+$D139*'Коэффициенты (ПС)'!$G$44+$D138*'Коэффициенты (ПС)'!$G$45+$D137*'Коэффициенты (ПС)'!$G$46+$D136*'Коэффициенты (ПС)'!$G$47+$D135*'Коэффициенты (ПС)'!$G$48+$D134*'Коэффициенты (ПС)'!$G$49+$D133*'Коэффициенты (ПС)'!$G$50+$D132*'Коэффициенты (ПС)'!$G$51+$D131*'Коэффициенты (ПС)'!$G$52+$D130*'Коэффициенты (ПС)'!$G$53+$D129*'Коэффициенты (ПС)'!$G$54+$D128*'Коэффициенты (ПС)'!$G$55+$D127*'Коэффициенты (ПС)'!$G$56+$D126*'Коэффициенты (ПС)'!$G$57+$D125*'Коэффициенты (ПС)'!$G$58+$D124*'Коэффициенты (ПС)'!$G$59+$D123*'Коэффициенты (ПС)'!$G$60+$D122*'Коэффициенты (ПС)'!$G$61+$D121*'Коэффициенты (ПС)'!$G$62+$D120*'Коэффициенты (ПС)'!$G$63+$D119*'Коэффициенты (ПС)'!$G$64+$D118*'Коэффициенты (ПС)'!$G$65+$D117*'Коэффициенты (ПС)'!$G$66+$D116*'Коэффициенты (ПС)'!$G$67</f>
        <v>3399.9499646610989</v>
      </c>
      <c r="F176" s="37">
        <f>$D175*'Коэффициенты (БЛ)'!$G$7+Расчет!$D174*'Коэффициенты (БЛ)'!$G$8+$D173*'Коэффициенты (БЛ)'!$G$9+$D172*'Коэффициенты (БЛ)'!$G$10+$D171*'Коэффициенты (БЛ)'!$G$11+$D170*'Коэффициенты (БЛ)'!$G$12+$D169*'Коэффициенты (БЛ)'!$G$13+$D168*'Коэффициенты (БЛ)'!$G$14+$D167*'Коэффициенты (БЛ)'!$G$15+$D166*'Коэффициенты (БЛ)'!$G$16+$D165*'Коэффициенты (БЛ)'!$G$17+$D164*'Коэффициенты (БЛ)'!$G$18+$D163*'Коэффициенты (БЛ)'!$G$19+$D162*'Коэффициенты (БЛ)'!$G$20+$D161*'Коэффициенты (БЛ)'!$G$21+$D160*'Коэффициенты (БЛ)'!$G$22+$D159*'Коэффициенты (БЛ)'!$G$23+$D158*'Коэффициенты (БЛ)'!$G$24+$D157*'Коэффициенты (БЛ)'!$G$25+$D156*'Коэффициенты (БЛ)'!$G$26+$D155*'Коэффициенты (БЛ)'!$G$27+$D154*'Коэффициенты (БЛ)'!$G$28+$D153*'Коэффициенты (БЛ)'!$G$29+$D152*'Коэффициенты (БЛ)'!$G$30+$D151*'Коэффициенты (БЛ)'!$G$31+$D150*'Коэффициенты (БЛ)'!$G$32+$D149*'Коэффициенты (БЛ)'!$G$33+$D148*'Коэффициенты (БЛ)'!$G$34+$D147*'Коэффициенты (БЛ)'!$G$35+$D146*'Коэффициенты (БЛ)'!$G$36+$D145*'Коэффициенты (БЛ)'!$G$37+$D144*'Коэффициенты (БЛ)'!$G$38+$D143*'Коэффициенты (БЛ)'!$G$39+$D142*'Коэффициенты (БЛ)'!$G$40+$D141*'Коэффициенты (БЛ)'!$G$41+$D140*'Коэффициенты (БЛ)'!$G$42+$D139*'Коэффициенты (БЛ)'!$G$43+$D138*'Коэффициенты (БЛ)'!$G$44+$D137*'Коэффициенты (БЛ)'!$G$45+$D136*'Коэффициенты (БЛ)'!$G$46+$D135*'Коэффициенты (БЛ)'!$G$47+$D134*'Коэффициенты (БЛ)'!$G$48+$D133*'Коэффициенты (БЛ)'!$G$49+$D132*'Коэффициенты (БЛ)'!$G$50+$D131*'Коэффициенты (БЛ)'!$G$51+$D130*'Коэффициенты (БЛ)'!$G$52+$D129*'Коэффициенты (БЛ)'!$G$53+$D128*'Коэффициенты (БЛ)'!$G$54+$D127*'Коэффициенты (БЛ)'!$G$55+$D126*'Коэффициенты (БЛ)'!$G$56+$D125*'Коэффициенты (БЛ)'!$G$57+$D124*'Коэффициенты (БЛ)'!$G$58+$D123*'Коэффициенты (БЛ)'!$G$59+$D122*'Коэффициенты (БЛ)'!$G$60+$D121*'Коэффициенты (БЛ)'!$G$61+$D120*'Коэффициенты (БЛ)'!$G$62+$D119*'Коэффициенты (БЛ)'!$G$63+$D118*'Коэффициенты (БЛ)'!$G$64+$D117*'Коэффициенты (БЛ)'!$G$65+$D116*'Коэффициенты (БЛ)'!$G$66</f>
        <v>88.980757355668587</v>
      </c>
      <c r="G176" s="43">
        <v>1</v>
      </c>
      <c r="H176" s="43">
        <f t="shared" si="10"/>
        <v>3399.9499646610989</v>
      </c>
      <c r="I176" s="43">
        <f t="shared" si="11"/>
        <v>88.980757355668587</v>
      </c>
    </row>
    <row r="177" spans="2:9" ht="18" customHeight="1" x14ac:dyDescent="0.35">
      <c r="B177" s="49"/>
      <c r="C177" s="36">
        <v>2</v>
      </c>
      <c r="D177" s="37">
        <f>'Обработка руды'!E151</f>
        <v>60558.254817635665</v>
      </c>
      <c r="E177" s="37">
        <f>$D176*'Коэффициенты (ПС)'!$G$8+Расчет!$D175*'Коэффициенты (ПС)'!$G$9+$D174*'Коэффициенты (ПС)'!$G$10+$D173*'Коэффициенты (ПС)'!$G$11+$D172*'Коэффициенты (ПС)'!$G$12+$D171*'Коэффициенты (ПС)'!$G$13+$D170*'Коэффициенты (ПС)'!$G$14+$D169*'Коэффициенты (ПС)'!$G$15+$D168*'Коэффициенты (ПС)'!$G$16+$D167*'Коэффициенты (ПС)'!$G$17+$D166*'Коэффициенты (ПС)'!$G$18+$D165*'Коэффициенты (ПС)'!$G$19+$D164*'Коэффициенты (ПС)'!$G$20+$D163*'Коэффициенты (ПС)'!$G$21+$D162*'Коэффициенты (ПС)'!$G$22+$D161*'Коэффициенты (ПС)'!$G$23+$D160*'Коэффициенты (ПС)'!$G$24+$D159*'Коэффициенты (ПС)'!$G$25+$D158*'Коэффициенты (ПС)'!$G$26+$D157*'Коэффициенты (ПС)'!$G$27+$D156*'Коэффициенты (ПС)'!$G$28+$D155*'Коэффициенты (ПС)'!$G$29+$D154*'Коэффициенты (ПС)'!$G$30+$D153*'Коэффициенты (ПС)'!$G$31+$D152*'Коэффициенты (ПС)'!$G$32+$D151*'Коэффициенты (ПС)'!$G$33+$D150*'Коэффициенты (ПС)'!$G$34+$D149*'Коэффициенты (ПС)'!$G$35+$D148*'Коэффициенты (ПС)'!$G$36+$D147*'Коэффициенты (ПС)'!$G$37+$D146*'Коэффициенты (ПС)'!$G$38+$D145*'Коэффициенты (ПС)'!$G$39+$D144*'Коэффициенты (ПС)'!$G$40+$D143*'Коэффициенты (ПС)'!$G$41+$D142*'Коэффициенты (ПС)'!$G$42+$D141*'Коэффициенты (ПС)'!$G$43+$D140*'Коэффициенты (ПС)'!$G$44+$D139*'Коэффициенты (ПС)'!$G$45+$D138*'Коэффициенты (ПС)'!$G$46+$D137*'Коэффициенты (ПС)'!$G$47+$D136*'Коэффициенты (ПС)'!$G$48+$D135*'Коэффициенты (ПС)'!$G$49+$D134*'Коэффициенты (ПС)'!$G$50+$D133*'Коэффициенты (ПС)'!$G$51+$D132*'Коэффициенты (ПС)'!$G$52+$D131*'Коэффициенты (ПС)'!$G$53+$D130*'Коэффициенты (ПС)'!$G$54+$D129*'Коэффициенты (ПС)'!$G$55+$D128*'Коэффициенты (ПС)'!$G$56+$D127*'Коэффициенты (ПС)'!$G$57+$D126*'Коэффициенты (ПС)'!$G$58+$D125*'Коэффициенты (ПС)'!$G$59+$D124*'Коэффициенты (ПС)'!$G$60+$D123*'Коэффициенты (ПС)'!$G$61+$D122*'Коэффициенты (ПС)'!$G$62+$D121*'Коэффициенты (ПС)'!$G$63+$D120*'Коэффициенты (ПС)'!$G$64+$D119*'Коэффициенты (ПС)'!$G$65+$D118*'Коэффициенты (ПС)'!$G$66+$D117*'Коэффициенты (ПС)'!$G$67</f>
        <v>2231.9819087677342</v>
      </c>
      <c r="F177" s="37">
        <f>$D176*'Коэффициенты (БЛ)'!$G$7+Расчет!$D175*'Коэффициенты (БЛ)'!$G$8+$D174*'Коэффициенты (БЛ)'!$G$9+$D173*'Коэффициенты (БЛ)'!$G$10+$D172*'Коэффициенты (БЛ)'!$G$11+$D171*'Коэффициенты (БЛ)'!$G$12+$D170*'Коэффициенты (БЛ)'!$G$13+$D169*'Коэффициенты (БЛ)'!$G$14+$D168*'Коэффициенты (БЛ)'!$G$15+$D167*'Коэффициенты (БЛ)'!$G$16+$D166*'Коэффициенты (БЛ)'!$G$17+$D165*'Коэффициенты (БЛ)'!$G$18+$D164*'Коэффициенты (БЛ)'!$G$19+$D163*'Коэффициенты (БЛ)'!$G$20+$D162*'Коэффициенты (БЛ)'!$G$21+$D161*'Коэффициенты (БЛ)'!$G$22+$D160*'Коэффициенты (БЛ)'!$G$23+$D159*'Коэффициенты (БЛ)'!$G$24+$D158*'Коэффициенты (БЛ)'!$G$25+$D157*'Коэффициенты (БЛ)'!$G$26+$D156*'Коэффициенты (БЛ)'!$G$27+$D155*'Коэффициенты (БЛ)'!$G$28+$D154*'Коэффициенты (БЛ)'!$G$29+$D153*'Коэффициенты (БЛ)'!$G$30+$D152*'Коэффициенты (БЛ)'!$G$31+$D151*'Коэффициенты (БЛ)'!$G$32+$D150*'Коэффициенты (БЛ)'!$G$33+$D149*'Коэффициенты (БЛ)'!$G$34+$D148*'Коэффициенты (БЛ)'!$G$35+$D147*'Коэффициенты (БЛ)'!$G$36+$D146*'Коэффициенты (БЛ)'!$G$37+$D145*'Коэффициенты (БЛ)'!$G$38+$D144*'Коэффициенты (БЛ)'!$G$39+$D143*'Коэффициенты (БЛ)'!$G$40+$D142*'Коэффициенты (БЛ)'!$G$41+$D141*'Коэффициенты (БЛ)'!$G$42+$D140*'Коэффициенты (БЛ)'!$G$43+$D139*'Коэффициенты (БЛ)'!$G$44+$D138*'Коэффициенты (БЛ)'!$G$45+$D137*'Коэффициенты (БЛ)'!$G$46+$D136*'Коэффициенты (БЛ)'!$G$47+$D135*'Коэффициенты (БЛ)'!$G$48+$D134*'Коэффициенты (БЛ)'!$G$49+$D133*'Коэффициенты (БЛ)'!$G$50+$D132*'Коэффициенты (БЛ)'!$G$51+$D131*'Коэффициенты (БЛ)'!$G$52+$D130*'Коэффициенты (БЛ)'!$G$53+$D129*'Коэффициенты (БЛ)'!$G$54+$D128*'Коэффициенты (БЛ)'!$G$55+$D127*'Коэффициенты (БЛ)'!$G$56+$D126*'Коэффициенты (БЛ)'!$G$57+$D125*'Коэффициенты (БЛ)'!$G$58+$D124*'Коэффициенты (БЛ)'!$G$59+$D123*'Коэффициенты (БЛ)'!$G$60+$D122*'Коэффициенты (БЛ)'!$G$61+$D121*'Коэффициенты (БЛ)'!$G$62+$D120*'Коэффициенты (БЛ)'!$G$63+$D119*'Коэффициенты (БЛ)'!$G$64+$D118*'Коэффициенты (БЛ)'!$G$65+$D117*'Коэффициенты (БЛ)'!$G$66</f>
        <v>58.413636291880067</v>
      </c>
      <c r="G177" s="43">
        <v>1</v>
      </c>
      <c r="H177" s="43">
        <f t="shared" si="10"/>
        <v>2231.9819087677342</v>
      </c>
      <c r="I177" s="43">
        <f t="shared" si="11"/>
        <v>58.413636291880067</v>
      </c>
    </row>
    <row r="178" spans="2:9" ht="18" customHeight="1" x14ac:dyDescent="0.35">
      <c r="B178" s="49"/>
      <c r="C178" s="36">
        <v>3</v>
      </c>
      <c r="D178" s="37">
        <f>'Обработка руды'!E152</f>
        <v>0</v>
      </c>
      <c r="E178" s="37">
        <f>$D177*'Коэффициенты (ПС)'!$G$8+Расчет!$D176*'Коэффициенты (ПС)'!$G$9+$D175*'Коэффициенты (ПС)'!$G$10+$D174*'Коэффициенты (ПС)'!$G$11+$D173*'Коэффициенты (ПС)'!$G$12+$D172*'Коэффициенты (ПС)'!$G$13+$D171*'Коэффициенты (ПС)'!$G$14+$D170*'Коэффициенты (ПС)'!$G$15+$D169*'Коэффициенты (ПС)'!$G$16+$D168*'Коэффициенты (ПС)'!$G$17+$D167*'Коэффициенты (ПС)'!$G$18+$D166*'Коэффициенты (ПС)'!$G$19+$D165*'Коэффициенты (ПС)'!$G$20+$D164*'Коэффициенты (ПС)'!$G$21+$D163*'Коэффициенты (ПС)'!$G$22+$D162*'Коэффициенты (ПС)'!$G$23+$D161*'Коэффициенты (ПС)'!$G$24+$D160*'Коэффициенты (ПС)'!$G$25+$D159*'Коэффициенты (ПС)'!$G$26+$D158*'Коэффициенты (ПС)'!$G$27+$D157*'Коэффициенты (ПС)'!$G$28+$D156*'Коэффициенты (ПС)'!$G$29+$D155*'Коэффициенты (ПС)'!$G$30+$D154*'Коэффициенты (ПС)'!$G$31+$D153*'Коэффициенты (ПС)'!$G$32+$D152*'Коэффициенты (ПС)'!$G$33+$D151*'Коэффициенты (ПС)'!$G$34+$D150*'Коэффициенты (ПС)'!$G$35+$D149*'Коэффициенты (ПС)'!$G$36+$D148*'Коэффициенты (ПС)'!$G$37+$D147*'Коэффициенты (ПС)'!$G$38+$D146*'Коэффициенты (ПС)'!$G$39+$D145*'Коэффициенты (ПС)'!$G$40+$D144*'Коэффициенты (ПС)'!$G$41+$D143*'Коэффициенты (ПС)'!$G$42+$D142*'Коэффициенты (ПС)'!$G$43+$D141*'Коэффициенты (ПС)'!$G$44+$D140*'Коэффициенты (ПС)'!$G$45+$D139*'Коэффициенты (ПС)'!$G$46+$D138*'Коэффициенты (ПС)'!$G$47+$D137*'Коэффициенты (ПС)'!$G$48+$D136*'Коэффициенты (ПС)'!$G$49+$D135*'Коэффициенты (ПС)'!$G$50+$D134*'Коэффициенты (ПС)'!$G$51+$D133*'Коэффициенты (ПС)'!$G$52+$D132*'Коэффициенты (ПС)'!$G$53+$D131*'Коэффициенты (ПС)'!$G$54+$D130*'Коэффициенты (ПС)'!$G$55+$D129*'Коэффициенты (ПС)'!$G$56+$D128*'Коэффициенты (ПС)'!$G$57+$D127*'Коэффициенты (ПС)'!$G$58+$D126*'Коэффициенты (ПС)'!$G$59+$D125*'Коэффициенты (ПС)'!$G$60+$D124*'Коэффициенты (ПС)'!$G$61+$D123*'Коэффициенты (ПС)'!$G$62+$D122*'Коэффициенты (ПС)'!$G$63+$D121*'Коэффициенты (ПС)'!$G$64+$D120*'Коэффициенты (ПС)'!$G$65+$D119*'Коэффициенты (ПС)'!$G$66+$D118*'Коэффициенты (ПС)'!$G$67</f>
        <v>2735.231044632209</v>
      </c>
      <c r="F178" s="37">
        <f>$D177*'Коэффициенты (БЛ)'!$G$7+Расчет!$D176*'Коэффициенты (БЛ)'!$G$8+$D175*'Коэффициенты (БЛ)'!$G$9+$D174*'Коэффициенты (БЛ)'!$G$10+$D173*'Коэффициенты (БЛ)'!$G$11+$D172*'Коэффициенты (БЛ)'!$G$12+$D171*'Коэффициенты (БЛ)'!$G$13+$D170*'Коэффициенты (БЛ)'!$G$14+$D169*'Коэффициенты (БЛ)'!$G$15+$D168*'Коэффициенты (БЛ)'!$G$16+$D167*'Коэффициенты (БЛ)'!$G$17+$D166*'Коэффициенты (БЛ)'!$G$18+$D165*'Коэффициенты (БЛ)'!$G$19+$D164*'Коэффициенты (БЛ)'!$G$20+$D163*'Коэффициенты (БЛ)'!$G$21+$D162*'Коэффициенты (БЛ)'!$G$22+$D161*'Коэффициенты (БЛ)'!$G$23+$D160*'Коэффициенты (БЛ)'!$G$24+$D159*'Коэффициенты (БЛ)'!$G$25+$D158*'Коэффициенты (БЛ)'!$G$26+$D157*'Коэффициенты (БЛ)'!$G$27+$D156*'Коэффициенты (БЛ)'!$G$28+$D155*'Коэффициенты (БЛ)'!$G$29+$D154*'Коэффициенты (БЛ)'!$G$30+$D153*'Коэффициенты (БЛ)'!$G$31+$D152*'Коэффициенты (БЛ)'!$G$32+$D151*'Коэффициенты (БЛ)'!$G$33+$D150*'Коэффициенты (БЛ)'!$G$34+$D149*'Коэффициенты (БЛ)'!$G$35+$D148*'Коэффициенты (БЛ)'!$G$36+$D147*'Коэффициенты (БЛ)'!$G$37+$D146*'Коэффициенты (БЛ)'!$G$38+$D145*'Коэффициенты (БЛ)'!$G$39+$D144*'Коэффициенты (БЛ)'!$G$40+$D143*'Коэффициенты (БЛ)'!$G$41+$D142*'Коэффициенты (БЛ)'!$G$42+$D141*'Коэффициенты (БЛ)'!$G$43+$D140*'Коэффициенты (БЛ)'!$G$44+$D139*'Коэффициенты (БЛ)'!$G$45+$D138*'Коэффициенты (БЛ)'!$G$46+$D137*'Коэффициенты (БЛ)'!$G$47+$D136*'Коэффициенты (БЛ)'!$G$48+$D135*'Коэффициенты (БЛ)'!$G$49+$D134*'Коэффициенты (БЛ)'!$G$50+$D133*'Коэффициенты (БЛ)'!$G$51+$D132*'Коэффициенты (БЛ)'!$G$52+$D131*'Коэффициенты (БЛ)'!$G$53+$D130*'Коэффициенты (БЛ)'!$G$54+$D129*'Коэффициенты (БЛ)'!$G$55+$D128*'Коэффициенты (БЛ)'!$G$56+$D127*'Коэффициенты (БЛ)'!$G$57+$D126*'Коэффициенты (БЛ)'!$G$58+$D125*'Коэффициенты (БЛ)'!$G$59+$D124*'Коэффициенты (БЛ)'!$G$60+$D123*'Коэффициенты (БЛ)'!$G$61+$D122*'Коэффициенты (БЛ)'!$G$62+$D121*'Коэффициенты (БЛ)'!$G$63+$D120*'Коэффициенты (БЛ)'!$G$64+$D119*'Коэффициенты (БЛ)'!$G$65+$D118*'Коэффициенты (БЛ)'!$G$66</f>
        <v>71.584268128595937</v>
      </c>
      <c r="G178" s="43">
        <v>1</v>
      </c>
      <c r="H178" s="43">
        <f t="shared" si="10"/>
        <v>2735.231044632209</v>
      </c>
      <c r="I178" s="43">
        <f t="shared" si="11"/>
        <v>71.584268128595937</v>
      </c>
    </row>
    <row r="179" spans="2:9" ht="18" customHeight="1" x14ac:dyDescent="0.35">
      <c r="B179" s="49"/>
      <c r="C179" s="36">
        <v>4</v>
      </c>
      <c r="D179" s="37">
        <f>'Обработка руды'!E153</f>
        <v>0</v>
      </c>
      <c r="E179" s="37">
        <f>$D178*'Коэффициенты (ПС)'!$G$8+Расчет!$D177*'Коэффициенты (ПС)'!$G$9+$D176*'Коэффициенты (ПС)'!$G$10+$D175*'Коэффициенты (ПС)'!$G$11+$D174*'Коэффициенты (ПС)'!$G$12+$D173*'Коэффициенты (ПС)'!$G$13+$D172*'Коэффициенты (ПС)'!$G$14+$D171*'Коэффициенты (ПС)'!$G$15+$D170*'Коэффициенты (ПС)'!$G$16+$D169*'Коэффициенты (ПС)'!$G$17+$D168*'Коэффициенты (ПС)'!$G$18+$D167*'Коэффициенты (ПС)'!$G$19+$D166*'Коэффициенты (ПС)'!$G$20+$D165*'Коэффициенты (ПС)'!$G$21+$D164*'Коэффициенты (ПС)'!$G$22+$D163*'Коэффициенты (ПС)'!$G$23+$D162*'Коэффициенты (ПС)'!$G$24+$D161*'Коэффициенты (ПС)'!$G$25+$D160*'Коэффициенты (ПС)'!$G$26+$D159*'Коэффициенты (ПС)'!$G$27+$D158*'Коэффициенты (ПС)'!$G$28+$D157*'Коэффициенты (ПС)'!$G$29+$D156*'Коэффициенты (ПС)'!$G$30+$D155*'Коэффициенты (ПС)'!$G$31+$D154*'Коэффициенты (ПС)'!$G$32+$D153*'Коэффициенты (ПС)'!$G$33+$D152*'Коэффициенты (ПС)'!$G$34+$D151*'Коэффициенты (ПС)'!$G$35+$D150*'Коэффициенты (ПС)'!$G$36+$D149*'Коэффициенты (ПС)'!$G$37+$D148*'Коэффициенты (ПС)'!$G$38+$D147*'Коэффициенты (ПС)'!$G$39+$D146*'Коэффициенты (ПС)'!$G$40+$D145*'Коэффициенты (ПС)'!$G$41+$D144*'Коэффициенты (ПС)'!$G$42+$D143*'Коэффициенты (ПС)'!$G$43+$D142*'Коэффициенты (ПС)'!$G$44+$D141*'Коэффициенты (ПС)'!$G$45+$D140*'Коэффициенты (ПС)'!$G$46+$D139*'Коэффициенты (ПС)'!$G$47+$D138*'Коэффициенты (ПС)'!$G$48+$D137*'Коэффициенты (ПС)'!$G$49+$D136*'Коэффициенты (ПС)'!$G$50+$D135*'Коэффициенты (ПС)'!$G$51+$D134*'Коэффициенты (ПС)'!$G$52+$D133*'Коэффициенты (ПС)'!$G$53+$D132*'Коэффициенты (ПС)'!$G$54+$D131*'Коэффициенты (ПС)'!$G$55+$D130*'Коэффициенты (ПС)'!$G$56+$D129*'Коэффициенты (ПС)'!$G$57+$D128*'Коэффициенты (ПС)'!$G$58+$D127*'Коэффициенты (ПС)'!$G$59+$D126*'Коэффициенты (ПС)'!$G$60+$D125*'Коэффициенты (ПС)'!$G$61+$D124*'Коэффициенты (ПС)'!$G$62+$D123*'Коэффициенты (ПС)'!$G$63+$D122*'Коэффициенты (ПС)'!$G$64+$D121*'Коэффициенты (ПС)'!$G$65+$D120*'Коэффициенты (ПС)'!$G$66+$D119*'Коэффициенты (ПС)'!$G$67</f>
        <v>2125.4667585172524</v>
      </c>
      <c r="F179" s="37">
        <f>$D178*'Коэффициенты (БЛ)'!$G$7+Расчет!$D177*'Коэффициенты (БЛ)'!$G$8+$D176*'Коэффициенты (БЛ)'!$G$9+$D175*'Коэффициенты (БЛ)'!$G$10+$D174*'Коэффициенты (БЛ)'!$G$11+$D173*'Коэффициенты (БЛ)'!$G$12+$D172*'Коэффициенты (БЛ)'!$G$13+$D171*'Коэффициенты (БЛ)'!$G$14+$D170*'Коэффициенты (БЛ)'!$G$15+$D169*'Коэффициенты (БЛ)'!$G$16+$D168*'Коэффициенты (БЛ)'!$G$17+$D167*'Коэффициенты (БЛ)'!$G$18+$D166*'Коэффициенты (БЛ)'!$G$19+$D165*'Коэффициенты (БЛ)'!$G$20+$D164*'Коэффициенты (БЛ)'!$G$21+$D163*'Коэффициенты (БЛ)'!$G$22+$D162*'Коэффициенты (БЛ)'!$G$23+$D161*'Коэффициенты (БЛ)'!$G$24+$D160*'Коэффициенты (БЛ)'!$G$25+$D159*'Коэффициенты (БЛ)'!$G$26+$D158*'Коэффициенты (БЛ)'!$G$27+$D157*'Коэффициенты (БЛ)'!$G$28+$D156*'Коэффициенты (БЛ)'!$G$29+$D155*'Коэффициенты (БЛ)'!$G$30+$D154*'Коэффициенты (БЛ)'!$G$31+$D153*'Коэффициенты (БЛ)'!$G$32+$D152*'Коэффициенты (БЛ)'!$G$33+$D151*'Коэффициенты (БЛ)'!$G$34+$D150*'Коэффициенты (БЛ)'!$G$35+$D149*'Коэффициенты (БЛ)'!$G$36+$D148*'Коэффициенты (БЛ)'!$G$37+$D147*'Коэффициенты (БЛ)'!$G$38+$D146*'Коэффициенты (БЛ)'!$G$39+$D145*'Коэффициенты (БЛ)'!$G$40+$D144*'Коэффициенты (БЛ)'!$G$41+$D143*'Коэффициенты (БЛ)'!$G$42+$D142*'Коэффициенты (БЛ)'!$G$43+$D141*'Коэффициенты (БЛ)'!$G$44+$D140*'Коэффициенты (БЛ)'!$G$45+$D139*'Коэффициенты (БЛ)'!$G$46+$D138*'Коэффициенты (БЛ)'!$G$47+$D137*'Коэффициенты (БЛ)'!$G$48+$D136*'Коэффициенты (БЛ)'!$G$49+$D135*'Коэффициенты (БЛ)'!$G$50+$D134*'Коэффициенты (БЛ)'!$G$51+$D133*'Коэффициенты (БЛ)'!$G$52+$D132*'Коэффициенты (БЛ)'!$G$53+$D131*'Коэффициенты (БЛ)'!$G$54+$D130*'Коэффициенты (БЛ)'!$G$55+$D129*'Коэффициенты (БЛ)'!$G$56+$D128*'Коэффициенты (БЛ)'!$G$57+$D127*'Коэффициенты (БЛ)'!$G$58+$D126*'Коэффициенты (БЛ)'!$G$59+$D125*'Коэффициенты (БЛ)'!$G$60+$D124*'Коэффициенты (БЛ)'!$G$61+$D123*'Коэффициенты (БЛ)'!$G$62+$D122*'Коэффициенты (БЛ)'!$G$63+$D121*'Коэффициенты (БЛ)'!$G$64+$D120*'Коэффициенты (БЛ)'!$G$65+$D119*'Коэффициенты (БЛ)'!$G$66</f>
        <v>55.626007403910329</v>
      </c>
      <c r="G179" s="43">
        <v>1</v>
      </c>
      <c r="H179" s="43">
        <f t="shared" si="10"/>
        <v>2125.4667585172524</v>
      </c>
      <c r="I179" s="43">
        <f t="shared" si="11"/>
        <v>55.626007403910329</v>
      </c>
    </row>
    <row r="180" spans="2:9" ht="18" customHeight="1" x14ac:dyDescent="0.35">
      <c r="B180" s="49"/>
      <c r="C180" s="36">
        <v>5</v>
      </c>
      <c r="D180" s="37">
        <f>'Обработка руды'!E154</f>
        <v>0</v>
      </c>
      <c r="E180" s="37">
        <f>$D179*'Коэффициенты (ПС)'!$G$8+Расчет!$D178*'Коэффициенты (ПС)'!$G$9+$D177*'Коэффициенты (ПС)'!$G$10+$D176*'Коэффициенты (ПС)'!$G$11+$D175*'Коэффициенты (ПС)'!$G$12+$D174*'Коэффициенты (ПС)'!$G$13+$D173*'Коэффициенты (ПС)'!$G$14+$D172*'Коэффициенты (ПС)'!$G$15+$D171*'Коэффициенты (ПС)'!$G$16+$D170*'Коэффициенты (ПС)'!$G$17+$D169*'Коэффициенты (ПС)'!$G$18+$D168*'Коэффициенты (ПС)'!$G$19+$D167*'Коэффициенты (ПС)'!$G$20+$D166*'Коэффициенты (ПС)'!$G$21+$D165*'Коэффициенты (ПС)'!$G$22+$D164*'Коэффициенты (ПС)'!$G$23+$D163*'Коэффициенты (ПС)'!$G$24+$D162*'Коэффициенты (ПС)'!$G$25+$D161*'Коэффициенты (ПС)'!$G$26+$D160*'Коэффициенты (ПС)'!$G$27+$D159*'Коэффициенты (ПС)'!$G$28+$D158*'Коэффициенты (ПС)'!$G$29+$D157*'Коэффициенты (ПС)'!$G$30+$D156*'Коэффициенты (ПС)'!$G$31+$D155*'Коэффициенты (ПС)'!$G$32+$D154*'Коэффициенты (ПС)'!$G$33+$D153*'Коэффициенты (ПС)'!$G$34+$D152*'Коэффициенты (ПС)'!$G$35+$D151*'Коэффициенты (ПС)'!$G$36+$D150*'Коэффициенты (ПС)'!$G$37+$D149*'Коэффициенты (ПС)'!$G$38+$D148*'Коэффициенты (ПС)'!$G$39+$D147*'Коэффициенты (ПС)'!$G$40+$D146*'Коэффициенты (ПС)'!$G$41+$D145*'Коэффициенты (ПС)'!$G$42+$D144*'Коэффициенты (ПС)'!$G$43+$D143*'Коэффициенты (ПС)'!$G$44+$D142*'Коэффициенты (ПС)'!$G$45+$D141*'Коэффициенты (ПС)'!$G$46+$D140*'Коэффициенты (ПС)'!$G$47+$D139*'Коэффициенты (ПС)'!$G$48+$D138*'Коэффициенты (ПС)'!$G$49+$D137*'Коэффициенты (ПС)'!$G$50+$D136*'Коэффициенты (ПС)'!$G$51+$D135*'Коэффициенты (ПС)'!$G$52+$D134*'Коэффициенты (ПС)'!$G$53+$D133*'Коэффициенты (ПС)'!$G$54+$D132*'Коэффициенты (ПС)'!$G$55+$D131*'Коэффициенты (ПС)'!$G$56+$D130*'Коэффициенты (ПС)'!$G$57+$D129*'Коэффициенты (ПС)'!$G$58+$D128*'Коэффициенты (ПС)'!$G$59+$D127*'Коэффициенты (ПС)'!$G$60+$D126*'Коэффициенты (ПС)'!$G$61+$D125*'Коэффициенты (ПС)'!$G$62+$D124*'Коэффициенты (ПС)'!$G$63+$D123*'Коэффициенты (ПС)'!$G$64+$D122*'Коэффициенты (ПС)'!$G$65+$D121*'Коэффициенты (ПС)'!$G$66+$D120*'Коэффициенты (ПС)'!$G$67</f>
        <v>2035.8777350919568</v>
      </c>
      <c r="F180" s="37">
        <f>$D179*'Коэффициенты (БЛ)'!$G$7+Расчет!$D178*'Коэффициенты (БЛ)'!$G$8+$D177*'Коэффициенты (БЛ)'!$G$9+$D176*'Коэффициенты (БЛ)'!$G$10+$D175*'Коэффициенты (БЛ)'!$G$11+$D174*'Коэффициенты (БЛ)'!$G$12+$D173*'Коэффициенты (БЛ)'!$G$13+$D172*'Коэффициенты (БЛ)'!$G$14+$D171*'Коэффициенты (БЛ)'!$G$15+$D170*'Коэффициенты (БЛ)'!$G$16+$D169*'Коэффициенты (БЛ)'!$G$17+$D168*'Коэффициенты (БЛ)'!$G$18+$D167*'Коэффициенты (БЛ)'!$G$19+$D166*'Коэффициенты (БЛ)'!$G$20+$D165*'Коэффициенты (БЛ)'!$G$21+$D164*'Коэффициенты (БЛ)'!$G$22+$D163*'Коэффициенты (БЛ)'!$G$23+$D162*'Коэффициенты (БЛ)'!$G$24+$D161*'Коэффициенты (БЛ)'!$G$25+$D160*'Коэффициенты (БЛ)'!$G$26+$D159*'Коэффициенты (БЛ)'!$G$27+$D158*'Коэффициенты (БЛ)'!$G$28+$D157*'Коэффициенты (БЛ)'!$G$29+$D156*'Коэффициенты (БЛ)'!$G$30+$D155*'Коэффициенты (БЛ)'!$G$31+$D154*'Коэффициенты (БЛ)'!$G$32+$D153*'Коэффициенты (БЛ)'!$G$33+$D152*'Коэффициенты (БЛ)'!$G$34+$D151*'Коэффициенты (БЛ)'!$G$35+$D150*'Коэффициенты (БЛ)'!$G$36+$D149*'Коэффициенты (БЛ)'!$G$37+$D148*'Коэффициенты (БЛ)'!$G$38+$D147*'Коэффициенты (БЛ)'!$G$39+$D146*'Коэффициенты (БЛ)'!$G$40+$D145*'Коэффициенты (БЛ)'!$G$41+$D144*'Коэффициенты (БЛ)'!$G$42+$D143*'Коэффициенты (БЛ)'!$G$43+$D142*'Коэффициенты (БЛ)'!$G$44+$D141*'Коэффициенты (БЛ)'!$G$45+$D140*'Коэффициенты (БЛ)'!$G$46+$D139*'Коэффициенты (БЛ)'!$G$47+$D138*'Коэффициенты (БЛ)'!$G$48+$D137*'Коэффициенты (БЛ)'!$G$49+$D136*'Коэффициенты (БЛ)'!$G$50+$D135*'Коэффициенты (БЛ)'!$G$51+$D134*'Коэффициенты (БЛ)'!$G$52+$D133*'Коэффициенты (БЛ)'!$G$53+$D132*'Коэффициенты (БЛ)'!$G$54+$D131*'Коэффициенты (БЛ)'!$G$55+$D130*'Коэффициенты (БЛ)'!$G$56+$D129*'Коэффициенты (БЛ)'!$G$57+$D128*'Коэффициенты (БЛ)'!$G$58+$D127*'Коэффициенты (БЛ)'!$G$59+$D126*'Коэффициенты (БЛ)'!$G$60+$D125*'Коэффициенты (БЛ)'!$G$61+$D124*'Коэффициенты (БЛ)'!$G$62+$D123*'Коэффициенты (БЛ)'!$G$63+$D122*'Коэффициенты (БЛ)'!$G$64+$D121*'Коэффициенты (БЛ)'!$G$65+$D120*'Коэффициенты (БЛ)'!$G$66</f>
        <v>53.281355500795584</v>
      </c>
      <c r="G180" s="43">
        <v>1</v>
      </c>
      <c r="H180" s="43">
        <f t="shared" si="10"/>
        <v>2035.8777350919568</v>
      </c>
      <c r="I180" s="43">
        <f t="shared" si="11"/>
        <v>53.281355500795584</v>
      </c>
    </row>
    <row r="181" spans="2:9" ht="18" customHeight="1" x14ac:dyDescent="0.35">
      <c r="B181" s="49"/>
      <c r="C181" s="36">
        <v>6</v>
      </c>
      <c r="D181" s="37">
        <f>'Обработка руды'!E155</f>
        <v>0</v>
      </c>
      <c r="E181" s="37">
        <f>$D180*'Коэффициенты (ПС)'!$G$8+Расчет!$D179*'Коэффициенты (ПС)'!$G$9+$D178*'Коэффициенты (ПС)'!$G$10+$D177*'Коэффициенты (ПС)'!$G$11+$D176*'Коэффициенты (ПС)'!$G$12+$D175*'Коэффициенты (ПС)'!$G$13+$D174*'Коэффициенты (ПС)'!$G$14+$D173*'Коэффициенты (ПС)'!$G$15+$D172*'Коэффициенты (ПС)'!$G$16+$D171*'Коэффициенты (ПС)'!$G$17+$D170*'Коэффициенты (ПС)'!$G$18+$D169*'Коэффициенты (ПС)'!$G$19+$D168*'Коэффициенты (ПС)'!$G$20+$D167*'Коэффициенты (ПС)'!$G$21+$D166*'Коэффициенты (ПС)'!$G$22+$D165*'Коэффициенты (ПС)'!$G$23+$D164*'Коэффициенты (ПС)'!$G$24+$D163*'Коэффициенты (ПС)'!$G$25+$D162*'Коэффициенты (ПС)'!$G$26+$D161*'Коэффициенты (ПС)'!$G$27+$D160*'Коэффициенты (ПС)'!$G$28+$D159*'Коэффициенты (ПС)'!$G$29+$D158*'Коэффициенты (ПС)'!$G$30+$D157*'Коэффициенты (ПС)'!$G$31+$D156*'Коэффициенты (ПС)'!$G$32+$D155*'Коэффициенты (ПС)'!$G$33+$D154*'Коэффициенты (ПС)'!$G$34+$D153*'Коэффициенты (ПС)'!$G$35+$D152*'Коэффициенты (ПС)'!$G$36+$D151*'Коэффициенты (ПС)'!$G$37+$D150*'Коэффициенты (ПС)'!$G$38+$D149*'Коэффициенты (ПС)'!$G$39+$D148*'Коэффициенты (ПС)'!$G$40+$D147*'Коэффициенты (ПС)'!$G$41+$D146*'Коэффициенты (ПС)'!$G$42+$D145*'Коэффициенты (ПС)'!$G$43+$D144*'Коэффициенты (ПС)'!$G$44+$D143*'Коэффициенты (ПС)'!$G$45+$D142*'Коэффициенты (ПС)'!$G$46+$D141*'Коэффициенты (ПС)'!$G$47+$D140*'Коэффициенты (ПС)'!$G$48+$D139*'Коэффициенты (ПС)'!$G$49+$D138*'Коэффициенты (ПС)'!$G$50+$D137*'Коэффициенты (ПС)'!$G$51+$D136*'Коэффициенты (ПС)'!$G$52+$D135*'Коэффициенты (ПС)'!$G$53+$D134*'Коэффициенты (ПС)'!$G$54+$D133*'Коэффициенты (ПС)'!$G$55+$D132*'Коэффициенты (ПС)'!$G$56+$D131*'Коэффициенты (ПС)'!$G$57+$D130*'Коэффициенты (ПС)'!$G$58+$D129*'Коэффициенты (ПС)'!$G$59+$D128*'Коэффициенты (ПС)'!$G$60+$D127*'Коэффициенты (ПС)'!$G$61+$D126*'Коэффициенты (ПС)'!$G$62+$D125*'Коэффициенты (ПС)'!$G$63+$D124*'Коэффициенты (ПС)'!$G$64+$D123*'Коэффициенты (ПС)'!$G$65+$D122*'Коэффициенты (ПС)'!$G$66+$D121*'Коэффициенты (ПС)'!$G$67</f>
        <v>1891.0858046406297</v>
      </c>
      <c r="F181" s="37">
        <f>$D180*'Коэффициенты (БЛ)'!$G$7+Расчет!$D179*'Коэффициенты (БЛ)'!$G$8+$D178*'Коэффициенты (БЛ)'!$G$9+$D177*'Коэффициенты (БЛ)'!$G$10+$D176*'Коэффициенты (БЛ)'!$G$11+$D175*'Коэффициенты (БЛ)'!$G$12+$D174*'Коэффициенты (БЛ)'!$G$13+$D173*'Коэффициенты (БЛ)'!$G$14+$D172*'Коэффициенты (БЛ)'!$G$15+$D171*'Коэффициенты (БЛ)'!$G$16+$D170*'Коэффициенты (БЛ)'!$G$17+$D169*'Коэффициенты (БЛ)'!$G$18+$D168*'Коэффициенты (БЛ)'!$G$19+$D167*'Коэффициенты (БЛ)'!$G$20+$D166*'Коэффициенты (БЛ)'!$G$21+$D165*'Коэффициенты (БЛ)'!$G$22+$D164*'Коэффициенты (БЛ)'!$G$23+$D163*'Коэффициенты (БЛ)'!$G$24+$D162*'Коэффициенты (БЛ)'!$G$25+$D161*'Коэффициенты (БЛ)'!$G$26+$D160*'Коэффициенты (БЛ)'!$G$27+$D159*'Коэффициенты (БЛ)'!$G$28+$D158*'Коэффициенты (БЛ)'!$G$29+$D157*'Коэффициенты (БЛ)'!$G$30+$D156*'Коэффициенты (БЛ)'!$G$31+$D155*'Коэффициенты (БЛ)'!$G$32+$D154*'Коэффициенты (БЛ)'!$G$33+$D153*'Коэффициенты (БЛ)'!$G$34+$D152*'Коэффициенты (БЛ)'!$G$35+$D151*'Коэффициенты (БЛ)'!$G$36+$D150*'Коэффициенты (БЛ)'!$G$37+$D149*'Коэффициенты (БЛ)'!$G$38+$D148*'Коэффициенты (БЛ)'!$G$39+$D147*'Коэффициенты (БЛ)'!$G$40+$D146*'Коэффициенты (БЛ)'!$G$41+$D145*'Коэффициенты (БЛ)'!$G$42+$D144*'Коэффициенты (БЛ)'!$G$43+$D143*'Коэффициенты (БЛ)'!$G$44+$D142*'Коэффициенты (БЛ)'!$G$45+$D141*'Коэффициенты (БЛ)'!$G$46+$D140*'Коэффициенты (БЛ)'!$G$47+$D139*'Коэффициенты (БЛ)'!$G$48+$D138*'Коэффициенты (БЛ)'!$G$49+$D137*'Коэффициенты (БЛ)'!$G$50+$D136*'Коэффициенты (БЛ)'!$G$51+$D135*'Коэффициенты (БЛ)'!$G$52+$D134*'Коэффициенты (БЛ)'!$G$53+$D133*'Коэффициенты (БЛ)'!$G$54+$D132*'Коэффициенты (БЛ)'!$G$55+$D131*'Коэффициенты (БЛ)'!$G$56+$D130*'Коэффициенты (БЛ)'!$G$57+$D129*'Коэффициенты (БЛ)'!$G$58+$D128*'Коэффициенты (БЛ)'!$G$59+$D127*'Коэффициенты (БЛ)'!$G$60+$D126*'Коэффициенты (БЛ)'!$G$61+$D125*'Коэффициенты (БЛ)'!$G$62+$D124*'Коэффициенты (БЛ)'!$G$63+$D123*'Коэффициенты (БЛ)'!$G$64+$D122*'Коэффициенты (БЛ)'!$G$65+$D121*'Коэффициенты (БЛ)'!$G$66</f>
        <v>49.491977490983523</v>
      </c>
      <c r="G181" s="43">
        <v>1</v>
      </c>
      <c r="H181" s="43">
        <f t="shared" si="10"/>
        <v>1891.0858046406297</v>
      </c>
      <c r="I181" s="43">
        <f t="shared" si="11"/>
        <v>49.491977490983523</v>
      </c>
    </row>
    <row r="182" spans="2:9" ht="18" customHeight="1" x14ac:dyDescent="0.35">
      <c r="B182" s="49"/>
      <c r="C182" s="36">
        <v>7</v>
      </c>
      <c r="D182" s="37">
        <f>'Обработка руды'!E156</f>
        <v>0</v>
      </c>
      <c r="E182" s="37">
        <f>$D181*'Коэффициенты (ПС)'!$G$8+Расчет!$D180*'Коэффициенты (ПС)'!$G$9+$D179*'Коэффициенты (ПС)'!$G$10+$D178*'Коэффициенты (ПС)'!$G$11+$D177*'Коэффициенты (ПС)'!$G$12+$D176*'Коэффициенты (ПС)'!$G$13+$D175*'Коэффициенты (ПС)'!$G$14+$D174*'Коэффициенты (ПС)'!$G$15+$D173*'Коэффициенты (ПС)'!$G$16+$D172*'Коэффициенты (ПС)'!$G$17+$D171*'Коэффициенты (ПС)'!$G$18+$D170*'Коэффициенты (ПС)'!$G$19+$D169*'Коэффициенты (ПС)'!$G$20+$D168*'Коэффициенты (ПС)'!$G$21+$D167*'Коэффициенты (ПС)'!$G$22+$D166*'Коэффициенты (ПС)'!$G$23+$D165*'Коэффициенты (ПС)'!$G$24+$D164*'Коэффициенты (ПС)'!$G$25+$D163*'Коэффициенты (ПС)'!$G$26+$D162*'Коэффициенты (ПС)'!$G$27+$D161*'Коэффициенты (ПС)'!$G$28+$D160*'Коэффициенты (ПС)'!$G$29+$D159*'Коэффициенты (ПС)'!$G$30+$D158*'Коэффициенты (ПС)'!$G$31+$D157*'Коэффициенты (ПС)'!$G$32+$D156*'Коэффициенты (ПС)'!$G$33+$D155*'Коэффициенты (ПС)'!$G$34+$D154*'Коэффициенты (ПС)'!$G$35+$D153*'Коэффициенты (ПС)'!$G$36+$D152*'Коэффициенты (ПС)'!$G$37+$D151*'Коэффициенты (ПС)'!$G$38+$D150*'Коэффициенты (ПС)'!$G$39+$D149*'Коэффициенты (ПС)'!$G$40+$D148*'Коэффициенты (ПС)'!$G$41+$D147*'Коэффициенты (ПС)'!$G$42+$D146*'Коэффициенты (ПС)'!$G$43+$D145*'Коэффициенты (ПС)'!$G$44+$D144*'Коэффициенты (ПС)'!$G$45+$D143*'Коэффициенты (ПС)'!$G$46+$D142*'Коэффициенты (ПС)'!$G$47+$D141*'Коэффициенты (ПС)'!$G$48+$D140*'Коэффициенты (ПС)'!$G$49+$D139*'Коэффициенты (ПС)'!$G$50+$D138*'Коэффициенты (ПС)'!$G$51+$D137*'Коэффициенты (ПС)'!$G$52+$D136*'Коэффициенты (ПС)'!$G$53+$D135*'Коэффициенты (ПС)'!$G$54+$D134*'Коэффициенты (ПС)'!$G$55+$D133*'Коэффициенты (ПС)'!$G$56+$D132*'Коэффициенты (ПС)'!$G$57+$D131*'Коэффициенты (ПС)'!$G$58+$D130*'Коэффициенты (ПС)'!$G$59+$D129*'Коэффициенты (ПС)'!$G$60+$D128*'Коэффициенты (ПС)'!$G$61+$D127*'Коэффициенты (ПС)'!$G$62+$D126*'Коэффициенты (ПС)'!$G$63+$D125*'Коэффициенты (ПС)'!$G$64+$D124*'Коэффициенты (ПС)'!$G$65+$D123*'Коэффициенты (ПС)'!$G$66+$D122*'Коэффициенты (ПС)'!$G$67</f>
        <v>1851.9777580123268</v>
      </c>
      <c r="F182" s="37">
        <f>$D181*'Коэффициенты (БЛ)'!$G$7+Расчет!$D180*'Коэффициенты (БЛ)'!$G$8+$D179*'Коэффициенты (БЛ)'!$G$9+$D178*'Коэффициенты (БЛ)'!$G$10+$D177*'Коэффициенты (БЛ)'!$G$11+$D176*'Коэффициенты (БЛ)'!$G$12+$D175*'Коэффициенты (БЛ)'!$G$13+$D174*'Коэффициенты (БЛ)'!$G$14+$D173*'Коэффициенты (БЛ)'!$G$15+$D172*'Коэффициенты (БЛ)'!$G$16+$D171*'Коэффициенты (БЛ)'!$G$17+$D170*'Коэффициенты (БЛ)'!$G$18+$D169*'Коэффициенты (БЛ)'!$G$19+$D168*'Коэффициенты (БЛ)'!$G$20+$D167*'Коэффициенты (БЛ)'!$G$21+$D166*'Коэффициенты (БЛ)'!$G$22+$D165*'Коэффициенты (БЛ)'!$G$23+$D164*'Коэффициенты (БЛ)'!$G$24+$D163*'Коэффициенты (БЛ)'!$G$25+$D162*'Коэффициенты (БЛ)'!$G$26+$D161*'Коэффициенты (БЛ)'!$G$27+$D160*'Коэффициенты (БЛ)'!$G$28+$D159*'Коэффициенты (БЛ)'!$G$29+$D158*'Коэффициенты (БЛ)'!$G$30+$D157*'Коэффициенты (БЛ)'!$G$31+$D156*'Коэффициенты (БЛ)'!$G$32+$D155*'Коэффициенты (БЛ)'!$G$33+$D154*'Коэффициенты (БЛ)'!$G$34+$D153*'Коэффициенты (БЛ)'!$G$35+$D152*'Коэффициенты (БЛ)'!$G$36+$D151*'Коэффициенты (БЛ)'!$G$37+$D150*'Коэффициенты (БЛ)'!$G$38+$D149*'Коэффициенты (БЛ)'!$G$39+$D148*'Коэффициенты (БЛ)'!$G$40+$D147*'Коэффициенты (БЛ)'!$G$41+$D146*'Коэффициенты (БЛ)'!$G$42+$D145*'Коэффициенты (БЛ)'!$G$43+$D144*'Коэффициенты (БЛ)'!$G$44+$D143*'Коэффициенты (БЛ)'!$G$45+$D142*'Коэффициенты (БЛ)'!$G$46+$D141*'Коэффициенты (БЛ)'!$G$47+$D140*'Коэффициенты (БЛ)'!$G$48+$D139*'Коэффициенты (БЛ)'!$G$49+$D138*'Коэффициенты (БЛ)'!$G$50+$D137*'Коэффициенты (БЛ)'!$G$51+$D136*'Коэффициенты (БЛ)'!$G$52+$D135*'Коэффициенты (БЛ)'!$G$53+$D134*'Коэффициенты (БЛ)'!$G$54+$D133*'Коэффициенты (БЛ)'!$G$55+$D132*'Коэффициенты (БЛ)'!$G$56+$D131*'Коэффициенты (БЛ)'!$G$57+$D130*'Коэффициенты (БЛ)'!$G$58+$D129*'Коэффициенты (БЛ)'!$G$59+$D128*'Коэффициенты (БЛ)'!$G$60+$D127*'Коэффициенты (БЛ)'!$G$61+$D126*'Коэффициенты (БЛ)'!$G$62+$D125*'Коэффициенты (БЛ)'!$G$63+$D124*'Коэффициенты (БЛ)'!$G$64+$D123*'Коэффициенты (БЛ)'!$G$65+$D122*'Коэффициенты (БЛ)'!$G$66</f>
        <v>48.468473132432067</v>
      </c>
      <c r="G182" s="43">
        <v>1</v>
      </c>
      <c r="H182" s="43">
        <f t="shared" si="10"/>
        <v>1851.9777580123268</v>
      </c>
      <c r="I182" s="43">
        <f t="shared" si="11"/>
        <v>48.468473132432067</v>
      </c>
    </row>
    <row r="183" spans="2:9" ht="18" customHeight="1" x14ac:dyDescent="0.35">
      <c r="B183" s="49"/>
      <c r="C183" s="36">
        <v>8</v>
      </c>
      <c r="D183" s="37">
        <f>'Обработка руды'!E157</f>
        <v>0</v>
      </c>
      <c r="E183" s="37">
        <f>$D182*'Коэффициенты (ПС)'!$G$8+Расчет!$D181*'Коэффициенты (ПС)'!$G$9+$D180*'Коэффициенты (ПС)'!$G$10+$D179*'Коэффициенты (ПС)'!$G$11+$D178*'Коэффициенты (ПС)'!$G$12+$D177*'Коэффициенты (ПС)'!$G$13+$D176*'Коэффициенты (ПС)'!$G$14+$D175*'Коэффициенты (ПС)'!$G$15+$D174*'Коэффициенты (ПС)'!$G$16+$D173*'Коэффициенты (ПС)'!$G$17+$D172*'Коэффициенты (ПС)'!$G$18+$D171*'Коэффициенты (ПС)'!$G$19+$D170*'Коэффициенты (ПС)'!$G$20+$D169*'Коэффициенты (ПС)'!$G$21+$D168*'Коэффициенты (ПС)'!$G$22+$D167*'Коэффициенты (ПС)'!$G$23+$D166*'Коэффициенты (ПС)'!$G$24+$D165*'Коэффициенты (ПС)'!$G$25+$D164*'Коэффициенты (ПС)'!$G$26+$D163*'Коэффициенты (ПС)'!$G$27+$D162*'Коэффициенты (ПС)'!$G$28+$D161*'Коэффициенты (ПС)'!$G$29+$D160*'Коэффициенты (ПС)'!$G$30+$D159*'Коэффициенты (ПС)'!$G$31+$D158*'Коэффициенты (ПС)'!$G$32+$D157*'Коэффициенты (ПС)'!$G$33+$D156*'Коэффициенты (ПС)'!$G$34+$D155*'Коэффициенты (ПС)'!$G$35+$D154*'Коэффициенты (ПС)'!$G$36+$D153*'Коэффициенты (ПС)'!$G$37+$D152*'Коэффициенты (ПС)'!$G$38+$D151*'Коэффициенты (ПС)'!$G$39+$D150*'Коэффициенты (ПС)'!$G$40+$D149*'Коэффициенты (ПС)'!$G$41+$D148*'Коэффициенты (ПС)'!$G$42+$D147*'Коэффициенты (ПС)'!$G$43+$D146*'Коэффициенты (ПС)'!$G$44+$D145*'Коэффициенты (ПС)'!$G$45+$D144*'Коэффициенты (ПС)'!$G$46+$D143*'Коэффициенты (ПС)'!$G$47+$D142*'Коэффициенты (ПС)'!$G$48+$D141*'Коэффициенты (ПС)'!$G$49+$D140*'Коэффициенты (ПС)'!$G$50+$D139*'Коэффициенты (ПС)'!$G$51+$D138*'Коэффициенты (ПС)'!$G$52+$D137*'Коэффициенты (ПС)'!$G$53+$D136*'Коэффициенты (ПС)'!$G$54+$D135*'Коэффициенты (ПС)'!$G$55+$D134*'Коэффициенты (ПС)'!$G$56+$D133*'Коэффициенты (ПС)'!$G$57+$D132*'Коэффициенты (ПС)'!$G$58+$D131*'Коэффициенты (ПС)'!$G$59+$D130*'Коэффициенты (ПС)'!$G$60+$D129*'Коэффициенты (ПС)'!$G$61+$D128*'Коэффициенты (ПС)'!$G$62+$D127*'Коэффициенты (ПС)'!$G$63+$D126*'Коэффициенты (ПС)'!$G$64+$D125*'Коэффициенты (ПС)'!$G$65+$D124*'Коэффициенты (ПС)'!$G$66+$D123*'Коэффициенты (ПС)'!$G$67</f>
        <v>1753.8286054840719</v>
      </c>
      <c r="F183" s="37">
        <f>$D182*'Коэффициенты (БЛ)'!$G$7+Расчет!$D181*'Коэффициенты (БЛ)'!$G$8+$D180*'Коэффициенты (БЛ)'!$G$9+$D179*'Коэффициенты (БЛ)'!$G$10+$D178*'Коэффициенты (БЛ)'!$G$11+$D177*'Коэффициенты (БЛ)'!$G$12+$D176*'Коэффициенты (БЛ)'!$G$13+$D175*'Коэффициенты (БЛ)'!$G$14+$D174*'Коэффициенты (БЛ)'!$G$15+$D173*'Коэффициенты (БЛ)'!$G$16+$D172*'Коэффициенты (БЛ)'!$G$17+$D171*'Коэффициенты (БЛ)'!$G$18+$D170*'Коэффициенты (БЛ)'!$G$19+$D169*'Коэффициенты (БЛ)'!$G$20+$D168*'Коэффициенты (БЛ)'!$G$21+$D167*'Коэффициенты (БЛ)'!$G$22+$D166*'Коэффициенты (БЛ)'!$G$23+$D165*'Коэффициенты (БЛ)'!$G$24+$D164*'Коэффициенты (БЛ)'!$G$25+$D163*'Коэффициенты (БЛ)'!$G$26+$D162*'Коэффициенты (БЛ)'!$G$27+$D161*'Коэффициенты (БЛ)'!$G$28+$D160*'Коэффициенты (БЛ)'!$G$29+$D159*'Коэффициенты (БЛ)'!$G$30+$D158*'Коэффициенты (БЛ)'!$G$31+$D157*'Коэффициенты (БЛ)'!$G$32+$D156*'Коэффициенты (БЛ)'!$G$33+$D155*'Коэффициенты (БЛ)'!$G$34+$D154*'Коэффициенты (БЛ)'!$G$35+$D153*'Коэффициенты (БЛ)'!$G$36+$D152*'Коэффициенты (БЛ)'!$G$37+$D151*'Коэффициенты (БЛ)'!$G$38+$D150*'Коэффициенты (БЛ)'!$G$39+$D149*'Коэффициенты (БЛ)'!$G$40+$D148*'Коэффициенты (БЛ)'!$G$41+$D147*'Коэффициенты (БЛ)'!$G$42+$D146*'Коэффициенты (БЛ)'!$G$43+$D145*'Коэффициенты (БЛ)'!$G$44+$D144*'Коэффициенты (БЛ)'!$G$45+$D143*'Коэффициенты (БЛ)'!$G$46+$D142*'Коэффициенты (БЛ)'!$G$47+$D141*'Коэффициенты (БЛ)'!$G$48+$D140*'Коэффициенты (БЛ)'!$G$49+$D139*'Коэффициенты (БЛ)'!$G$50+$D138*'Коэффициенты (БЛ)'!$G$51+$D137*'Коэффициенты (БЛ)'!$G$52+$D136*'Коэффициенты (БЛ)'!$G$53+$D135*'Коэффициенты (БЛ)'!$G$54+$D134*'Коэффициенты (БЛ)'!$G$55+$D133*'Коэффициенты (БЛ)'!$G$56+$D132*'Коэффициенты (БЛ)'!$G$57+$D131*'Коэффициенты (БЛ)'!$G$58+$D130*'Коэффициенты (БЛ)'!$G$59+$D129*'Коэффициенты (БЛ)'!$G$60+$D128*'Коэффициенты (БЛ)'!$G$61+$D127*'Коэффициенты (БЛ)'!$G$62+$D126*'Коэффициенты (БЛ)'!$G$63+$D125*'Коэффициенты (БЛ)'!$G$64+$D124*'Коэффициенты (БЛ)'!$G$65+$D123*'Коэффициенты (БЛ)'!$G$66</f>
        <v>45.899792411669893</v>
      </c>
      <c r="G183" s="43">
        <v>1</v>
      </c>
      <c r="H183" s="43">
        <f t="shared" si="10"/>
        <v>1753.8286054840719</v>
      </c>
      <c r="I183" s="43">
        <f t="shared" si="11"/>
        <v>45.899792411669893</v>
      </c>
    </row>
    <row r="184" spans="2:9" ht="18" customHeight="1" x14ac:dyDescent="0.35">
      <c r="B184" s="49"/>
      <c r="C184" s="36">
        <v>9</v>
      </c>
      <c r="D184" s="37">
        <f>'Обработка руды'!E158</f>
        <v>0</v>
      </c>
      <c r="E184" s="37">
        <f>$D183*'Коэффициенты (ПС)'!$G$8+Расчет!$D182*'Коэффициенты (ПС)'!$G$9+$D181*'Коэффициенты (ПС)'!$G$10+$D180*'Коэффициенты (ПС)'!$G$11+$D179*'Коэффициенты (ПС)'!$G$12+$D178*'Коэффициенты (ПС)'!$G$13+$D177*'Коэффициенты (ПС)'!$G$14+$D176*'Коэффициенты (ПС)'!$G$15+$D175*'Коэффициенты (ПС)'!$G$16+$D174*'Коэффициенты (ПС)'!$G$17+$D173*'Коэффициенты (ПС)'!$G$18+$D172*'Коэффициенты (ПС)'!$G$19+$D171*'Коэффициенты (ПС)'!$G$20+$D170*'Коэффициенты (ПС)'!$G$21+$D169*'Коэффициенты (ПС)'!$G$22+$D168*'Коэффициенты (ПС)'!$G$23+$D167*'Коэффициенты (ПС)'!$G$24+$D166*'Коэффициенты (ПС)'!$G$25+$D165*'Коэффициенты (ПС)'!$G$26+$D164*'Коэффициенты (ПС)'!$G$27+$D163*'Коэффициенты (ПС)'!$G$28+$D162*'Коэффициенты (ПС)'!$G$29+$D161*'Коэффициенты (ПС)'!$G$30+$D160*'Коэффициенты (ПС)'!$G$31+$D159*'Коэффициенты (ПС)'!$G$32+$D158*'Коэффициенты (ПС)'!$G$33+$D157*'Коэффициенты (ПС)'!$G$34+$D156*'Коэффициенты (ПС)'!$G$35+$D155*'Коэффициенты (ПС)'!$G$36+$D154*'Коэффициенты (ПС)'!$G$37+$D153*'Коэффициенты (ПС)'!$G$38+$D152*'Коэффициенты (ПС)'!$G$39+$D151*'Коэффициенты (ПС)'!$G$40+$D150*'Коэффициенты (ПС)'!$G$41+$D149*'Коэффициенты (ПС)'!$G$42+$D148*'Коэффициенты (ПС)'!$G$43+$D147*'Коэффициенты (ПС)'!$G$44+$D146*'Коэффициенты (ПС)'!$G$45+$D145*'Коэффициенты (ПС)'!$G$46+$D144*'Коэффициенты (ПС)'!$G$47+$D143*'Коэффициенты (ПС)'!$G$48+$D142*'Коэффициенты (ПС)'!$G$49+$D141*'Коэффициенты (ПС)'!$G$50+$D140*'Коэффициенты (ПС)'!$G$51+$D139*'Коэффициенты (ПС)'!$G$52+$D138*'Коэффициенты (ПС)'!$G$53+$D137*'Коэффициенты (ПС)'!$G$54+$D136*'Коэффициенты (ПС)'!$G$55+$D135*'Коэффициенты (ПС)'!$G$56+$D134*'Коэффициенты (ПС)'!$G$57+$D133*'Коэффициенты (ПС)'!$G$58+$D132*'Коэффициенты (ПС)'!$G$59+$D131*'Коэффициенты (ПС)'!$G$60+$D130*'Коэффициенты (ПС)'!$G$61+$D129*'Коэффициенты (ПС)'!$G$62+$D128*'Коэффициенты (ПС)'!$G$63+$D127*'Коэффициенты (ПС)'!$G$64+$D126*'Коэффициенты (ПС)'!$G$65+$D125*'Коэффициенты (ПС)'!$G$66+$D124*'Коэффициенты (ПС)'!$G$67</f>
        <v>1694.3045370662296</v>
      </c>
      <c r="F184" s="37">
        <f>$D183*'Коэффициенты (БЛ)'!$G$7+Расчет!$D182*'Коэффициенты (БЛ)'!$G$8+$D181*'Коэффициенты (БЛ)'!$G$9+$D180*'Коэффициенты (БЛ)'!$G$10+$D179*'Коэффициенты (БЛ)'!$G$11+$D178*'Коэффициенты (БЛ)'!$G$12+$D177*'Коэффициенты (БЛ)'!$G$13+$D176*'Коэффициенты (БЛ)'!$G$14+$D175*'Коэффициенты (БЛ)'!$G$15+$D174*'Коэффициенты (БЛ)'!$G$16+$D173*'Коэффициенты (БЛ)'!$G$17+$D172*'Коэффициенты (БЛ)'!$G$18+$D171*'Коэффициенты (БЛ)'!$G$19+$D170*'Коэффициенты (БЛ)'!$G$20+$D169*'Коэффициенты (БЛ)'!$G$21+$D168*'Коэффициенты (БЛ)'!$G$22+$D167*'Коэффициенты (БЛ)'!$G$23+$D166*'Коэффициенты (БЛ)'!$G$24+$D165*'Коэффициенты (БЛ)'!$G$25+$D164*'Коэффициенты (БЛ)'!$G$26+$D163*'Коэффициенты (БЛ)'!$G$27+$D162*'Коэффициенты (БЛ)'!$G$28+$D161*'Коэффициенты (БЛ)'!$G$29+$D160*'Коэффициенты (БЛ)'!$G$30+$D159*'Коэффициенты (БЛ)'!$G$31+$D158*'Коэффициенты (БЛ)'!$G$32+$D157*'Коэффициенты (БЛ)'!$G$33+$D156*'Коэффициенты (БЛ)'!$G$34+$D155*'Коэффициенты (БЛ)'!$G$35+$D154*'Коэффициенты (БЛ)'!$G$36+$D153*'Коэффициенты (БЛ)'!$G$37+$D152*'Коэффициенты (БЛ)'!$G$38+$D151*'Коэффициенты (БЛ)'!$G$39+$D150*'Коэффициенты (БЛ)'!$G$40+$D149*'Коэффициенты (БЛ)'!$G$41+$D148*'Коэффициенты (БЛ)'!$G$42+$D147*'Коэффициенты (БЛ)'!$G$43+$D146*'Коэффициенты (БЛ)'!$G$44+$D145*'Коэффициенты (БЛ)'!$G$45+$D144*'Коэффициенты (БЛ)'!$G$46+$D143*'Коэффициенты (БЛ)'!$G$47+$D142*'Коэффициенты (БЛ)'!$G$48+$D141*'Коэффициенты (БЛ)'!$G$49+$D140*'Коэффициенты (БЛ)'!$G$50+$D139*'Коэффициенты (БЛ)'!$G$51+$D138*'Коэффициенты (БЛ)'!$G$52+$D137*'Коэффициенты (БЛ)'!$G$53+$D136*'Коэффициенты (БЛ)'!$G$54+$D135*'Коэффициенты (БЛ)'!$G$55+$D134*'Коэффициенты (БЛ)'!$G$56+$D133*'Коэффициенты (БЛ)'!$G$57+$D132*'Коэффициенты (БЛ)'!$G$58+$D131*'Коэффициенты (БЛ)'!$G$59+$D130*'Коэффициенты (БЛ)'!$G$60+$D129*'Коэффициенты (БЛ)'!$G$61+$D128*'Коэффициенты (БЛ)'!$G$62+$D127*'Коэффициенты (БЛ)'!$G$63+$D126*'Коэффициенты (БЛ)'!$G$64+$D125*'Коэффициенты (БЛ)'!$G$65+$D124*'Коэффициенты (БЛ)'!$G$66</f>
        <v>44.341976342680091</v>
      </c>
      <c r="G184" s="43">
        <v>1</v>
      </c>
      <c r="H184" s="43">
        <f t="shared" si="10"/>
        <v>1694.3045370662296</v>
      </c>
      <c r="I184" s="43">
        <f t="shared" si="11"/>
        <v>44.341976342680091</v>
      </c>
    </row>
    <row r="185" spans="2:9" ht="18" customHeight="1" x14ac:dyDescent="0.35">
      <c r="B185" s="49"/>
      <c r="C185" s="36">
        <v>10</v>
      </c>
      <c r="D185" s="37">
        <f>'Обработка руды'!E159</f>
        <v>0</v>
      </c>
      <c r="E185" s="37">
        <f>$D184*'Коэффициенты (ПС)'!$G$8+Расчет!$D183*'Коэффициенты (ПС)'!$G$9+$D182*'Коэффициенты (ПС)'!$G$10+$D181*'Коэффициенты (ПС)'!$G$11+$D180*'Коэффициенты (ПС)'!$G$12+$D179*'Коэффициенты (ПС)'!$G$13+$D178*'Коэффициенты (ПС)'!$G$14+$D177*'Коэффициенты (ПС)'!$G$15+$D176*'Коэффициенты (ПС)'!$G$16+$D175*'Коэффициенты (ПС)'!$G$17+$D174*'Коэффициенты (ПС)'!$G$18+$D173*'Коэффициенты (ПС)'!$G$19+$D172*'Коэффициенты (ПС)'!$G$20+$D171*'Коэффициенты (ПС)'!$G$21+$D170*'Коэффициенты (ПС)'!$G$22+$D169*'Коэффициенты (ПС)'!$G$23+$D168*'Коэффициенты (ПС)'!$G$24+$D167*'Коэффициенты (ПС)'!$G$25+$D166*'Коэффициенты (ПС)'!$G$26+$D165*'Коэффициенты (ПС)'!$G$27+$D164*'Коэффициенты (ПС)'!$G$28+$D163*'Коэффициенты (ПС)'!$G$29+$D162*'Коэффициенты (ПС)'!$G$30+$D161*'Коэффициенты (ПС)'!$G$31+$D160*'Коэффициенты (ПС)'!$G$32+$D159*'Коэффициенты (ПС)'!$G$33+$D158*'Коэффициенты (ПС)'!$G$34+$D157*'Коэффициенты (ПС)'!$G$35+$D156*'Коэффициенты (ПС)'!$G$36+$D155*'Коэффициенты (ПС)'!$G$37+$D154*'Коэффициенты (ПС)'!$G$38+$D153*'Коэффициенты (ПС)'!$G$39+$D152*'Коэффициенты (ПС)'!$G$40+$D151*'Коэффициенты (ПС)'!$G$41+$D150*'Коэффициенты (ПС)'!$G$42+$D149*'Коэффициенты (ПС)'!$G$43+$D148*'Коэффициенты (ПС)'!$G$44+$D147*'Коэффициенты (ПС)'!$G$45+$D146*'Коэффициенты (ПС)'!$G$46+$D145*'Коэффициенты (ПС)'!$G$47+$D144*'Коэффициенты (ПС)'!$G$48+$D143*'Коэффициенты (ПС)'!$G$49+$D142*'Коэффициенты (ПС)'!$G$50+$D141*'Коэффициенты (ПС)'!$G$51+$D140*'Коэффициенты (ПС)'!$G$52+$D139*'Коэффициенты (ПС)'!$G$53+$D138*'Коэффициенты (ПС)'!$G$54+$D137*'Коэффициенты (ПС)'!$G$55+$D136*'Коэффициенты (ПС)'!$G$56+$D135*'Коэффициенты (ПС)'!$G$57+$D134*'Коэффициенты (ПС)'!$G$58+$D133*'Коэффициенты (ПС)'!$G$59+$D132*'Коэффициенты (ПС)'!$G$60+$D131*'Коэффициенты (ПС)'!$G$61+$D130*'Коэффициенты (ПС)'!$G$62+$D129*'Коэффициенты (ПС)'!$G$63+$D128*'Коэффициенты (ПС)'!$G$64+$D127*'Коэффициенты (ПС)'!$G$65+$D126*'Коэффициенты (ПС)'!$G$66+$D125*'Коэффициенты (ПС)'!$G$67</f>
        <v>1658.5225946793093</v>
      </c>
      <c r="F185" s="37">
        <f>$D184*'Коэффициенты (БЛ)'!$G$7+Расчет!$D183*'Коэффициенты (БЛ)'!$G$8+$D182*'Коэффициенты (БЛ)'!$G$9+$D181*'Коэффициенты (БЛ)'!$G$10+$D180*'Коэффициенты (БЛ)'!$G$11+$D179*'Коэффициенты (БЛ)'!$G$12+$D178*'Коэффициенты (БЛ)'!$G$13+$D177*'Коэффициенты (БЛ)'!$G$14+$D176*'Коэффициенты (БЛ)'!$G$15+$D175*'Коэффициенты (БЛ)'!$G$16+$D174*'Коэффициенты (БЛ)'!$G$17+$D173*'Коэффициенты (БЛ)'!$G$18+$D172*'Коэффициенты (БЛ)'!$G$19+$D171*'Коэффициенты (БЛ)'!$G$20+$D170*'Коэффициенты (БЛ)'!$G$21+$D169*'Коэффициенты (БЛ)'!$G$22+$D168*'Коэффициенты (БЛ)'!$G$23+$D167*'Коэффициенты (БЛ)'!$G$24+$D166*'Коэффициенты (БЛ)'!$G$25+$D165*'Коэффициенты (БЛ)'!$G$26+$D164*'Коэффициенты (БЛ)'!$G$27+$D163*'Коэффициенты (БЛ)'!$G$28+$D162*'Коэффициенты (БЛ)'!$G$29+$D161*'Коэффициенты (БЛ)'!$G$30+$D160*'Коэффициенты (БЛ)'!$G$31+$D159*'Коэффициенты (БЛ)'!$G$32+$D158*'Коэффициенты (БЛ)'!$G$33+$D157*'Коэффициенты (БЛ)'!$G$34+$D156*'Коэффициенты (БЛ)'!$G$35+$D155*'Коэффициенты (БЛ)'!$G$36+$D154*'Коэффициенты (БЛ)'!$G$37+$D153*'Коэффициенты (БЛ)'!$G$38+$D152*'Коэффициенты (БЛ)'!$G$39+$D151*'Коэффициенты (БЛ)'!$G$40+$D150*'Коэффициенты (БЛ)'!$G$41+$D149*'Коэффициенты (БЛ)'!$G$42+$D148*'Коэффициенты (БЛ)'!$G$43+$D147*'Коэффициенты (БЛ)'!$G$44+$D146*'Коэффициенты (БЛ)'!$G$45+$D145*'Коэффициенты (БЛ)'!$G$46+$D144*'Коэффициенты (БЛ)'!$G$47+$D143*'Коэффициенты (БЛ)'!$G$48+$D142*'Коэффициенты (БЛ)'!$G$49+$D141*'Коэффициенты (БЛ)'!$G$50+$D140*'Коэффициенты (БЛ)'!$G$51+$D139*'Коэффициенты (БЛ)'!$G$52+$D138*'Коэффициенты (БЛ)'!$G$53+$D137*'Коэффициенты (БЛ)'!$G$54+$D136*'Коэффициенты (БЛ)'!$G$55+$D135*'Коэффициенты (БЛ)'!$G$56+$D134*'Коэффициенты (БЛ)'!$G$57+$D133*'Коэффициенты (БЛ)'!$G$58+$D132*'Коэффициенты (БЛ)'!$G$59+$D131*'Коэффициенты (БЛ)'!$G$60+$D130*'Коэффициенты (БЛ)'!$G$61+$D129*'Коэффициенты (БЛ)'!$G$62+$D128*'Коэффициенты (БЛ)'!$G$63+$D127*'Коэффициенты (БЛ)'!$G$64+$D126*'Коэффициенты (БЛ)'!$G$65+$D125*'Коэффициенты (БЛ)'!$G$66</f>
        <v>43.405520110577065</v>
      </c>
      <c r="G185" s="43">
        <v>1</v>
      </c>
      <c r="H185" s="43">
        <f t="shared" si="10"/>
        <v>1658.5225946793093</v>
      </c>
      <c r="I185" s="43">
        <f t="shared" si="11"/>
        <v>43.405520110577065</v>
      </c>
    </row>
    <row r="186" spans="2:9" ht="18" customHeight="1" x14ac:dyDescent="0.35">
      <c r="B186" s="49"/>
      <c r="C186" s="36">
        <v>11</v>
      </c>
      <c r="D186" s="37">
        <f>'Обработка руды'!E160</f>
        <v>67857.260103082634</v>
      </c>
      <c r="E186" s="37">
        <f>$D185*'Коэффициенты (ПС)'!$G$8+Расчет!$D184*'Коэффициенты (ПС)'!$G$9+$D183*'Коэффициенты (ПС)'!$G$10+$D182*'Коэффициенты (ПС)'!$G$11+$D181*'Коэффициенты (ПС)'!$G$12+$D180*'Коэффициенты (ПС)'!$G$13+$D179*'Коэффициенты (ПС)'!$G$14+$D178*'Коэффициенты (ПС)'!$G$15+$D177*'Коэффициенты (ПС)'!$G$16+$D176*'Коэффициенты (ПС)'!$G$17+$D175*'Коэффициенты (ПС)'!$G$18+$D174*'Коэффициенты (ПС)'!$G$19+$D173*'Коэффициенты (ПС)'!$G$20+$D172*'Коэффициенты (ПС)'!$G$21+$D171*'Коэффициенты (ПС)'!$G$22+$D170*'Коэффициенты (ПС)'!$G$23+$D169*'Коэффициенты (ПС)'!$G$24+$D168*'Коэффициенты (ПС)'!$G$25+$D167*'Коэффициенты (ПС)'!$G$26+$D166*'Коэффициенты (ПС)'!$G$27+$D165*'Коэффициенты (ПС)'!$G$28+$D164*'Коэффициенты (ПС)'!$G$29+$D163*'Коэффициенты (ПС)'!$G$30+$D162*'Коэффициенты (ПС)'!$G$31+$D161*'Коэффициенты (ПС)'!$G$32+$D160*'Коэффициенты (ПС)'!$G$33+$D159*'Коэффициенты (ПС)'!$G$34+$D158*'Коэффициенты (ПС)'!$G$35+$D157*'Коэффициенты (ПС)'!$G$36+$D156*'Коэффициенты (ПС)'!$G$37+$D155*'Коэффициенты (ПС)'!$G$38+$D154*'Коэффициенты (ПС)'!$G$39+$D153*'Коэффициенты (ПС)'!$G$40+$D152*'Коэффициенты (ПС)'!$G$41+$D151*'Коэффициенты (ПС)'!$G$42+$D150*'Коэффициенты (ПС)'!$G$43+$D149*'Коэффициенты (ПС)'!$G$44+$D148*'Коэффициенты (ПС)'!$G$45+$D147*'Коэффициенты (ПС)'!$G$46+$D146*'Коэффициенты (ПС)'!$G$47+$D145*'Коэффициенты (ПС)'!$G$48+$D144*'Коэффициенты (ПС)'!$G$49+$D143*'Коэффициенты (ПС)'!$G$50+$D142*'Коэффициенты (ПС)'!$G$51+$D141*'Коэффициенты (ПС)'!$G$52+$D140*'Коэффициенты (ПС)'!$G$53+$D139*'Коэффициенты (ПС)'!$G$54+$D138*'Коэффициенты (ПС)'!$G$55+$D137*'Коэффициенты (ПС)'!$G$56+$D136*'Коэффициенты (ПС)'!$G$57+$D135*'Коэффициенты (ПС)'!$G$58+$D134*'Коэффициенты (ПС)'!$G$59+$D133*'Коэффициенты (ПС)'!$G$60+$D132*'Коэффициенты (ПС)'!$G$61+$D131*'Коэффициенты (ПС)'!$G$62+$D130*'Коэффициенты (ПС)'!$G$63+$D129*'Коэффициенты (ПС)'!$G$64+$D128*'Коэффициенты (ПС)'!$G$65+$D127*'Коэффициенты (ПС)'!$G$66+$D126*'Коэффициенты (ПС)'!$G$67</f>
        <v>1587.8972679159988</v>
      </c>
      <c r="F186" s="37">
        <f>$D185*'Коэффициенты (БЛ)'!$G$7+Расчет!$D184*'Коэффициенты (БЛ)'!$G$8+$D183*'Коэффициенты (БЛ)'!$G$9+$D182*'Коэффициенты (БЛ)'!$G$10+$D181*'Коэффициенты (БЛ)'!$G$11+$D180*'Коэффициенты (БЛ)'!$G$12+$D179*'Коэффициенты (БЛ)'!$G$13+$D178*'Коэффициенты (БЛ)'!$G$14+$D177*'Коэффициенты (БЛ)'!$G$15+$D176*'Коэффициенты (БЛ)'!$G$16+$D175*'Коэффициенты (БЛ)'!$G$17+$D174*'Коэффициенты (БЛ)'!$G$18+$D173*'Коэффициенты (БЛ)'!$G$19+$D172*'Коэффициенты (БЛ)'!$G$20+$D171*'Коэффициенты (БЛ)'!$G$21+$D170*'Коэффициенты (БЛ)'!$G$22+$D169*'Коэффициенты (БЛ)'!$G$23+$D168*'Коэффициенты (БЛ)'!$G$24+$D167*'Коэффициенты (БЛ)'!$G$25+$D166*'Коэффициенты (БЛ)'!$G$26+$D165*'Коэффициенты (БЛ)'!$G$27+$D164*'Коэффициенты (БЛ)'!$G$28+$D163*'Коэффициенты (БЛ)'!$G$29+$D162*'Коэффициенты (БЛ)'!$G$30+$D161*'Коэффициенты (БЛ)'!$G$31+$D160*'Коэффициенты (БЛ)'!$G$32+$D159*'Коэффициенты (БЛ)'!$G$33+$D158*'Коэффициенты (БЛ)'!$G$34+$D157*'Коэффициенты (БЛ)'!$G$35+$D156*'Коэффициенты (БЛ)'!$G$36+$D155*'Коэффициенты (БЛ)'!$G$37+$D154*'Коэффициенты (БЛ)'!$G$38+$D153*'Коэффициенты (БЛ)'!$G$39+$D152*'Коэффициенты (БЛ)'!$G$40+$D151*'Коэффициенты (БЛ)'!$G$41+$D150*'Коэффициенты (БЛ)'!$G$42+$D149*'Коэффициенты (БЛ)'!$G$43+$D148*'Коэффициенты (БЛ)'!$G$44+$D147*'Коэффициенты (БЛ)'!$G$45+$D146*'Коэффициенты (БЛ)'!$G$46+$D145*'Коэффициенты (БЛ)'!$G$47+$D144*'Коэффициенты (БЛ)'!$G$48+$D143*'Коэффициенты (БЛ)'!$G$49+$D142*'Коэффициенты (БЛ)'!$G$50+$D141*'Коэффициенты (БЛ)'!$G$51+$D140*'Коэффициенты (БЛ)'!$G$52+$D139*'Коэффициенты (БЛ)'!$G$53+$D138*'Коэффициенты (БЛ)'!$G$54+$D137*'Коэффициенты (БЛ)'!$G$55+$D136*'Коэффициенты (БЛ)'!$G$56+$D135*'Коэффициенты (БЛ)'!$G$57+$D134*'Коэффициенты (БЛ)'!$G$58+$D133*'Коэффициенты (БЛ)'!$G$59+$D132*'Коэффициенты (БЛ)'!$G$60+$D131*'Коэффициенты (БЛ)'!$G$61+$D130*'Коэффициенты (БЛ)'!$G$62+$D129*'Коэффициенты (БЛ)'!$G$63+$D128*'Коэффициенты (БЛ)'!$G$64+$D127*'Коэффициенты (БЛ)'!$G$65+$D126*'Коэффициенты (БЛ)'!$G$66</f>
        <v>41.557170832143861</v>
      </c>
      <c r="G186" s="43">
        <v>1</v>
      </c>
      <c r="H186" s="43">
        <f t="shared" si="10"/>
        <v>1587.8972679159988</v>
      </c>
      <c r="I186" s="43">
        <f t="shared" si="11"/>
        <v>41.557170832143861</v>
      </c>
    </row>
    <row r="187" spans="2:9" ht="18" customHeight="1" x14ac:dyDescent="0.35">
      <c r="B187" s="49"/>
      <c r="C187" s="36">
        <v>12</v>
      </c>
      <c r="D187" s="37">
        <f>'Обработка руды'!E161</f>
        <v>136584.4850792817</v>
      </c>
      <c r="E187" s="37">
        <f>$D186*'Коэффициенты (ПС)'!$G$8+Расчет!$D185*'Коэффициенты (ПС)'!$G$9+$D184*'Коэффициенты (ПС)'!$G$10+$D183*'Коэффициенты (ПС)'!$G$11+$D182*'Коэффициенты (ПС)'!$G$12+$D181*'Коэффициенты (ПС)'!$G$13+$D180*'Коэффициенты (ПС)'!$G$14+$D179*'Коэффициенты (ПС)'!$G$15+$D178*'Коэффициенты (ПС)'!$G$16+$D177*'Коэффициенты (ПС)'!$G$17+$D176*'Коэффициенты (ПС)'!$G$18+$D175*'Коэффициенты (ПС)'!$G$19+$D174*'Коэффициенты (ПС)'!$G$20+$D173*'Коэффициенты (ПС)'!$G$21+$D172*'Коэффициенты (ПС)'!$G$22+$D171*'Коэффициенты (ПС)'!$G$23+$D170*'Коэффициенты (ПС)'!$G$24+$D169*'Коэффициенты (ПС)'!$G$25+$D168*'Коэффициенты (ПС)'!$G$26+$D167*'Коэффициенты (ПС)'!$G$27+$D166*'Коэффициенты (ПС)'!$G$28+$D165*'Коэффициенты (ПС)'!$G$29+$D164*'Коэффициенты (ПС)'!$G$30+$D163*'Коэффициенты (ПС)'!$G$31+$D162*'Коэффициенты (ПС)'!$G$32+$D161*'Коэффициенты (ПС)'!$G$33+$D160*'Коэффициенты (ПС)'!$G$34+$D159*'Коэффициенты (ПС)'!$G$35+$D158*'Коэффициенты (ПС)'!$G$36+$D157*'Коэффициенты (ПС)'!$G$37+$D156*'Коэффициенты (ПС)'!$G$38+$D155*'Коэффициенты (ПС)'!$G$39+$D154*'Коэффициенты (ПС)'!$G$40+$D153*'Коэффициенты (ПС)'!$G$41+$D152*'Коэффициенты (ПС)'!$G$42+$D151*'Коэффициенты (ПС)'!$G$43+$D150*'Коэффициенты (ПС)'!$G$44+$D149*'Коэффициенты (ПС)'!$G$45+$D148*'Коэффициенты (ПС)'!$G$46+$D147*'Коэффициенты (ПС)'!$G$47+$D146*'Коэффициенты (ПС)'!$G$48+$D145*'Коэффициенты (ПС)'!$G$49+$D144*'Коэффициенты (ПС)'!$G$50+$D143*'Коэффициенты (ПС)'!$G$51+$D142*'Коэффициенты (ПС)'!$G$52+$D141*'Коэффициенты (ПС)'!$G$53+$D140*'Коэффициенты (ПС)'!$G$54+$D139*'Коэффициенты (ПС)'!$G$55+$D138*'Коэффициенты (ПС)'!$G$56+$D137*'Коэффициенты (ПС)'!$G$57+$D136*'Коэффициенты (ПС)'!$G$58+$D135*'Коэффициенты (ПС)'!$G$59+$D134*'Коэффициенты (ПС)'!$G$60+$D133*'Коэффициенты (ПС)'!$G$61+$D132*'Коэффициенты (ПС)'!$G$62+$D131*'Коэффициенты (ПС)'!$G$63+$D130*'Коэффициенты (ПС)'!$G$64+$D129*'Коэффициенты (ПС)'!$G$65+$D128*'Коэффициенты (ПС)'!$G$66+$D127*'Коэффициенты (ПС)'!$G$67</f>
        <v>2287.1791736801229</v>
      </c>
      <c r="F187" s="37">
        <f>$D186*'Коэффициенты (БЛ)'!$G$7+Расчет!$D185*'Коэффициенты (БЛ)'!$G$8+$D184*'Коэффициенты (БЛ)'!$G$9+$D183*'Коэффициенты (БЛ)'!$G$10+$D182*'Коэффициенты (БЛ)'!$G$11+$D181*'Коэффициенты (БЛ)'!$G$12+$D180*'Коэффициенты (БЛ)'!$G$13+$D179*'Коэффициенты (БЛ)'!$G$14+$D178*'Коэффициенты (БЛ)'!$G$15+$D177*'Коэффициенты (БЛ)'!$G$16+$D176*'Коэффициенты (БЛ)'!$G$17+$D175*'Коэффициенты (БЛ)'!$G$18+$D174*'Коэффициенты (БЛ)'!$G$19+$D173*'Коэффициенты (БЛ)'!$G$20+$D172*'Коэффициенты (БЛ)'!$G$21+$D171*'Коэффициенты (БЛ)'!$G$22+$D170*'Коэффициенты (БЛ)'!$G$23+$D169*'Коэффициенты (БЛ)'!$G$24+$D168*'Коэффициенты (БЛ)'!$G$25+$D167*'Коэффициенты (БЛ)'!$G$26+$D166*'Коэффициенты (БЛ)'!$G$27+$D165*'Коэффициенты (БЛ)'!$G$28+$D164*'Коэффициенты (БЛ)'!$G$29+$D163*'Коэффициенты (БЛ)'!$G$30+$D162*'Коэффициенты (БЛ)'!$G$31+$D161*'Коэффициенты (БЛ)'!$G$32+$D160*'Коэффициенты (БЛ)'!$G$33+$D159*'Коэффициенты (БЛ)'!$G$34+$D158*'Коэффициенты (БЛ)'!$G$35+$D157*'Коэффициенты (БЛ)'!$G$36+$D156*'Коэффициенты (БЛ)'!$G$37+$D155*'Коэффициенты (БЛ)'!$G$38+$D154*'Коэффициенты (БЛ)'!$G$39+$D153*'Коэффициенты (БЛ)'!$G$40+$D152*'Коэффициенты (БЛ)'!$G$41+$D151*'Коэффициенты (БЛ)'!$G$42+$D150*'Коэффициенты (БЛ)'!$G$43+$D149*'Коэффициенты (БЛ)'!$G$44+$D148*'Коэффициенты (БЛ)'!$G$45+$D147*'Коэффициенты (БЛ)'!$G$46+$D146*'Коэффициенты (БЛ)'!$G$47+$D145*'Коэффициенты (БЛ)'!$G$48+$D144*'Коэффициенты (БЛ)'!$G$49+$D143*'Коэффициенты (БЛ)'!$G$50+$D142*'Коэффициенты (БЛ)'!$G$51+$D141*'Коэффициенты (БЛ)'!$G$52+$D140*'Коэффициенты (БЛ)'!$G$53+$D139*'Коэффициенты (БЛ)'!$G$54+$D138*'Коэффициенты (БЛ)'!$G$55+$D137*'Коэффициенты (БЛ)'!$G$56+$D136*'Коэффициенты (БЛ)'!$G$57+$D135*'Коэффициенты (БЛ)'!$G$58+$D134*'Коэффициенты (БЛ)'!$G$59+$D133*'Коэффициенты (БЛ)'!$G$60+$D132*'Коэффициенты (БЛ)'!$G$61+$D131*'Коэффициенты (БЛ)'!$G$62+$D130*'Коэффициенты (БЛ)'!$G$63+$D129*'Коэффициенты (БЛ)'!$G$64+$D128*'Коэффициенты (БЛ)'!$G$65+$D127*'Коэффициенты (БЛ)'!$G$66</f>
        <v>59.858214737714661</v>
      </c>
      <c r="G187" s="43">
        <v>1</v>
      </c>
      <c r="H187" s="43">
        <f t="shared" si="10"/>
        <v>2287.1791736801229</v>
      </c>
      <c r="I187" s="43">
        <f t="shared" si="11"/>
        <v>59.858214737714661</v>
      </c>
    </row>
    <row r="188" spans="2:9" ht="18" customHeight="1" x14ac:dyDescent="0.35">
      <c r="B188" s="49">
        <v>2039</v>
      </c>
      <c r="C188" s="36">
        <v>1</v>
      </c>
      <c r="D188" s="37">
        <f>'Обработка руды'!E162</f>
        <v>0</v>
      </c>
      <c r="E188" s="37">
        <f>$D187*'Коэффициенты (ПС)'!$G$8+Расчет!$D186*'Коэффициенты (ПС)'!$G$9+$D185*'Коэффициенты (ПС)'!$G$10+$D184*'Коэффициенты (ПС)'!$G$11+$D183*'Коэффициенты (ПС)'!$G$12+$D182*'Коэффициенты (ПС)'!$G$13+$D181*'Коэффициенты (ПС)'!$G$14+$D180*'Коэффициенты (ПС)'!$G$15+$D179*'Коэффициенты (ПС)'!$G$16+$D178*'Коэффициенты (ПС)'!$G$17+$D177*'Коэффициенты (ПС)'!$G$18+$D176*'Коэффициенты (ПС)'!$G$19+$D175*'Коэффициенты (ПС)'!$G$20+$D174*'Коэффициенты (ПС)'!$G$21+$D173*'Коэффициенты (ПС)'!$G$22+$D172*'Коэффициенты (ПС)'!$G$23+$D171*'Коэффициенты (ПС)'!$G$24+$D170*'Коэффициенты (ПС)'!$G$25+$D169*'Коэффициенты (ПС)'!$G$26+$D168*'Коэффициенты (ПС)'!$G$27+$D167*'Коэффициенты (ПС)'!$G$28+$D166*'Коэффициенты (ПС)'!$G$29+$D165*'Коэффициенты (ПС)'!$G$30+$D164*'Коэффициенты (ПС)'!$G$31+$D163*'Коэффициенты (ПС)'!$G$32+$D162*'Коэффициенты (ПС)'!$G$33+$D161*'Коэффициенты (ПС)'!$G$34+$D160*'Коэффициенты (ПС)'!$G$35+$D159*'Коэффициенты (ПС)'!$G$36+$D158*'Коэффициенты (ПС)'!$G$37+$D157*'Коэффициенты (ПС)'!$G$38+$D156*'Коэффициенты (ПС)'!$G$39+$D155*'Коэффициенты (ПС)'!$G$40+$D154*'Коэффициенты (ПС)'!$G$41+$D153*'Коэффициенты (ПС)'!$G$42+$D152*'Коэффициенты (ПС)'!$G$43+$D151*'Коэффициенты (ПС)'!$G$44+$D150*'Коэффициенты (ПС)'!$G$45+$D149*'Коэффициенты (ПС)'!$G$46+$D148*'Коэффициенты (ПС)'!$G$47+$D147*'Коэффициенты (ПС)'!$G$48+$D146*'Коэффициенты (ПС)'!$G$49+$D145*'Коэффициенты (ПС)'!$G$50+$D144*'Коэффициенты (ПС)'!$G$51+$D143*'Коэффициенты (ПС)'!$G$52+$D142*'Коэффициенты (ПС)'!$G$53+$D141*'Коэффициенты (ПС)'!$G$54+$D140*'Коэффициенты (ПС)'!$G$55+$D139*'Коэффициенты (ПС)'!$G$56+$D138*'Коэффициенты (ПС)'!$G$57+$D137*'Коэффициенты (ПС)'!$G$58+$D136*'Коэффициенты (ПС)'!$G$59+$D135*'Коэффициенты (ПС)'!$G$60+$D134*'Коэффициенты (ПС)'!$G$61+$D133*'Коэффициенты (ПС)'!$G$62+$D132*'Коэффициенты (ПС)'!$G$63+$D131*'Коэффициенты (ПС)'!$G$64+$D130*'Коэффициенты (ПС)'!$G$65+$D129*'Коэффициенты (ПС)'!$G$66+$D128*'Коэффициенты (ПС)'!$G$67</f>
        <v>3147.7510749181706</v>
      </c>
      <c r="F188" s="37">
        <f>$D187*'Коэффициенты (БЛ)'!$G$7+Расчет!$D186*'Коэффициенты (БЛ)'!$G$8+$D185*'Коэффициенты (БЛ)'!$G$9+$D184*'Коэффициенты (БЛ)'!$G$10+$D183*'Коэффициенты (БЛ)'!$G$11+$D182*'Коэффициенты (БЛ)'!$G$12+$D181*'Коэффициенты (БЛ)'!$G$13+$D180*'Коэффициенты (БЛ)'!$G$14+$D179*'Коэффициенты (БЛ)'!$G$15+$D178*'Коэффициенты (БЛ)'!$G$16+$D177*'Коэффициенты (БЛ)'!$G$17+$D176*'Коэффициенты (БЛ)'!$G$18+$D175*'Коэффициенты (БЛ)'!$G$19+$D174*'Коэффициенты (БЛ)'!$G$20+$D173*'Коэффициенты (БЛ)'!$G$21+$D172*'Коэффициенты (БЛ)'!$G$22+$D171*'Коэффициенты (БЛ)'!$G$23+$D170*'Коэффициенты (БЛ)'!$G$24+$D169*'Коэффициенты (БЛ)'!$G$25+$D168*'Коэффициенты (БЛ)'!$G$26+$D167*'Коэффициенты (БЛ)'!$G$27+$D166*'Коэффициенты (БЛ)'!$G$28+$D165*'Коэффициенты (БЛ)'!$G$29+$D164*'Коэффициенты (БЛ)'!$G$30+$D163*'Коэффициенты (БЛ)'!$G$31+$D162*'Коэффициенты (БЛ)'!$G$32+$D161*'Коэффициенты (БЛ)'!$G$33+$D160*'Коэффициенты (БЛ)'!$G$34+$D159*'Коэффициенты (БЛ)'!$G$35+$D158*'Коэффициенты (БЛ)'!$G$36+$D157*'Коэффициенты (БЛ)'!$G$37+$D156*'Коэффициенты (БЛ)'!$G$38+$D155*'Коэффициенты (БЛ)'!$G$39+$D154*'Коэффициенты (БЛ)'!$G$40+$D153*'Коэффициенты (БЛ)'!$G$41+$D152*'Коэффициенты (БЛ)'!$G$42+$D151*'Коэффициенты (БЛ)'!$G$43+$D150*'Коэффициенты (БЛ)'!$G$44+$D149*'Коэффициенты (БЛ)'!$G$45+$D148*'Коэффициенты (БЛ)'!$G$46+$D147*'Коэффициенты (БЛ)'!$G$47+$D146*'Коэффициенты (БЛ)'!$G$48+$D145*'Коэффициенты (БЛ)'!$G$49+$D144*'Коэффициенты (БЛ)'!$G$50+$D143*'Коэффициенты (БЛ)'!$G$51+$D142*'Коэффициенты (БЛ)'!$G$52+$D141*'Коэффициенты (БЛ)'!$G$53+$D140*'Коэффициенты (БЛ)'!$G$54+$D139*'Коэффициенты (БЛ)'!$G$55+$D138*'Коэффициенты (БЛ)'!$G$56+$D137*'Коэффициенты (БЛ)'!$G$57+$D136*'Коэффициенты (БЛ)'!$G$58+$D135*'Коэффициенты (БЛ)'!$G$59+$D134*'Коэффициенты (БЛ)'!$G$60+$D133*'Коэффициенты (БЛ)'!$G$61+$D132*'Коэффициенты (БЛ)'!$G$62+$D131*'Коэффициенты (БЛ)'!$G$63+$D130*'Коэффициенты (БЛ)'!$G$64+$D129*'Коэффициенты (БЛ)'!$G$65+$D128*'Коэффициенты (БЛ)'!$G$66</f>
        <v>82.380410748561545</v>
      </c>
      <c r="G188" s="43">
        <v>1</v>
      </c>
      <c r="H188" s="43">
        <f t="shared" si="10"/>
        <v>3147.7510749181706</v>
      </c>
      <c r="I188" s="43">
        <f t="shared" si="11"/>
        <v>82.380410748561545</v>
      </c>
    </row>
    <row r="189" spans="2:9" ht="18" customHeight="1" x14ac:dyDescent="0.35">
      <c r="B189" s="49"/>
      <c r="C189" s="36">
        <v>2</v>
      </c>
      <c r="D189" s="37">
        <f>'Обработка руды'!E163</f>
        <v>47989.560421522605</v>
      </c>
      <c r="E189" s="37">
        <f>$D188*'Коэффициенты (ПС)'!$G$8+Расчет!$D187*'Коэффициенты (ПС)'!$G$9+$D186*'Коэффициенты (ПС)'!$G$10+$D185*'Коэффициенты (ПС)'!$G$11+$D184*'Коэффициенты (ПС)'!$G$12+$D183*'Коэффициенты (ПС)'!$G$13+$D182*'Коэффициенты (ПС)'!$G$14+$D181*'Коэффициенты (ПС)'!$G$15+$D180*'Коэффициенты (ПС)'!$G$16+$D179*'Коэффициенты (ПС)'!$G$17+$D178*'Коэффициенты (ПС)'!$G$18+$D177*'Коэффициенты (ПС)'!$G$19+$D176*'Коэффициенты (ПС)'!$G$20+$D175*'Коэффициенты (ПС)'!$G$21+$D174*'Коэффициенты (ПС)'!$G$22+$D173*'Коэффициенты (ПС)'!$G$23+$D172*'Коэффициенты (ПС)'!$G$24+$D171*'Коэффициенты (ПС)'!$G$25+$D170*'Коэффициенты (ПС)'!$G$26+$D169*'Коэффициенты (ПС)'!$G$27+$D168*'Коэффициенты (ПС)'!$G$28+$D167*'Коэффициенты (ПС)'!$G$29+$D166*'Коэффициенты (ПС)'!$G$30+$D165*'Коэффициенты (ПС)'!$G$31+$D164*'Коэффициенты (ПС)'!$G$32+$D163*'Коэффициенты (ПС)'!$G$33+$D162*'Коэффициенты (ПС)'!$G$34+$D161*'Коэффициенты (ПС)'!$G$35+$D160*'Коэффициенты (ПС)'!$G$36+$D159*'Коэффициенты (ПС)'!$G$37+$D158*'Коэффициенты (ПС)'!$G$38+$D157*'Коэффициенты (ПС)'!$G$39+$D156*'Коэффициенты (ПС)'!$G$40+$D155*'Коэффициенты (ПС)'!$G$41+$D154*'Коэффициенты (ПС)'!$G$42+$D153*'Коэффициенты (ПС)'!$G$43+$D152*'Коэффициенты (ПС)'!$G$44+$D151*'Коэффициенты (ПС)'!$G$45+$D150*'Коэффициенты (ПС)'!$G$46+$D149*'Коэффициенты (ПС)'!$G$47+$D148*'Коэффициенты (ПС)'!$G$48+$D147*'Коэффициенты (ПС)'!$G$49+$D146*'Коэффициенты (ПС)'!$G$50+$D145*'Коэффициенты (ПС)'!$G$51+$D144*'Коэффициенты (ПС)'!$G$52+$D143*'Коэффициенты (ПС)'!$G$53+$D142*'Коэффициенты (ПС)'!$G$54+$D141*'Коэффициенты (ПС)'!$G$55+$D140*'Коэффициенты (ПС)'!$G$56+$D139*'Коэффициенты (ПС)'!$G$57+$D138*'Коэффициенты (ПС)'!$G$58+$D137*'Коэффициенты (ПС)'!$G$59+$D136*'Коэффициенты (ПС)'!$G$60+$D135*'Коэффициенты (ПС)'!$G$61+$D134*'Коэффициенты (ПС)'!$G$62+$D133*'Коэффициенты (ПС)'!$G$63+$D132*'Коэффициенты (ПС)'!$G$64+$D131*'Коэффициенты (ПС)'!$G$65+$D130*'Коэффициенты (ПС)'!$G$66+$D129*'Коэффициенты (ПС)'!$G$67</f>
        <v>2110.1009182476491</v>
      </c>
      <c r="F189" s="37">
        <f>$D188*'Коэффициенты (БЛ)'!$G$7+Расчет!$D187*'Коэффициенты (БЛ)'!$G$8+$D186*'Коэффициенты (БЛ)'!$G$9+$D185*'Коэффициенты (БЛ)'!$G$10+$D184*'Коэффициенты (БЛ)'!$G$11+$D183*'Коэффициенты (БЛ)'!$G$12+$D182*'Коэффициенты (БЛ)'!$G$13+$D181*'Коэффициенты (БЛ)'!$G$14+$D180*'Коэффициенты (БЛ)'!$G$15+$D179*'Коэффициенты (БЛ)'!$G$16+$D178*'Коэффициенты (БЛ)'!$G$17+$D177*'Коэффициенты (БЛ)'!$G$18+$D176*'Коэффициенты (БЛ)'!$G$19+$D175*'Коэффициенты (БЛ)'!$G$20+$D174*'Коэффициенты (БЛ)'!$G$21+$D173*'Коэффициенты (БЛ)'!$G$22+$D172*'Коэффициенты (БЛ)'!$G$23+$D171*'Коэффициенты (БЛ)'!$G$24+$D170*'Коэффициенты (БЛ)'!$G$25+$D169*'Коэффициенты (БЛ)'!$G$26+$D168*'Коэффициенты (БЛ)'!$G$27+$D167*'Коэффициенты (БЛ)'!$G$28+$D166*'Коэффициенты (БЛ)'!$G$29+$D165*'Коэффициенты (БЛ)'!$G$30+$D164*'Коэффициенты (БЛ)'!$G$31+$D163*'Коэффициенты (БЛ)'!$G$32+$D162*'Коэффициенты (БЛ)'!$G$33+$D161*'Коэффициенты (БЛ)'!$G$34+$D160*'Коэффициенты (БЛ)'!$G$35+$D159*'Коэффициенты (БЛ)'!$G$36+$D158*'Коэффициенты (БЛ)'!$G$37+$D157*'Коэффициенты (БЛ)'!$G$38+$D156*'Коэффициенты (БЛ)'!$G$39+$D155*'Коэффициенты (БЛ)'!$G$40+$D154*'Коэффициенты (БЛ)'!$G$41+$D153*'Коэффициенты (БЛ)'!$G$42+$D152*'Коэффициенты (БЛ)'!$G$43+$D151*'Коэффициенты (БЛ)'!$G$44+$D150*'Коэффициенты (БЛ)'!$G$45+$D149*'Коэффициенты (БЛ)'!$G$46+$D148*'Коэффициенты (БЛ)'!$G$47+$D147*'Коэффициенты (БЛ)'!$G$48+$D146*'Коэффициенты (БЛ)'!$G$49+$D145*'Коэффициенты (БЛ)'!$G$50+$D144*'Коэффициенты (БЛ)'!$G$51+$D143*'Коэффициенты (БЛ)'!$G$52+$D142*'Коэффициенты (БЛ)'!$G$53+$D141*'Коэффициенты (БЛ)'!$G$54+$D140*'Коэффициенты (БЛ)'!$G$55+$D139*'Коэффициенты (БЛ)'!$G$56+$D138*'Коэффициенты (БЛ)'!$G$57+$D137*'Коэффициенты (БЛ)'!$G$58+$D136*'Коэффициенты (БЛ)'!$G$59+$D135*'Коэффициенты (БЛ)'!$G$60+$D134*'Коэффициенты (БЛ)'!$G$61+$D133*'Коэффициенты (БЛ)'!$G$62+$D132*'Коэффициенты (БЛ)'!$G$63+$D131*'Коэффициенты (БЛ)'!$G$64+$D130*'Коэффициенты (БЛ)'!$G$65+$D129*'Коэффициенты (БЛ)'!$G$66</f>
        <v>55.223864984519871</v>
      </c>
      <c r="G189" s="43">
        <v>1</v>
      </c>
      <c r="H189" s="43">
        <f t="shared" si="10"/>
        <v>2110.1009182476491</v>
      </c>
      <c r="I189" s="43">
        <f t="shared" si="11"/>
        <v>55.223864984519871</v>
      </c>
    </row>
    <row r="190" spans="2:9" ht="18" customHeight="1" x14ac:dyDescent="0.35">
      <c r="B190" s="49"/>
      <c r="C190" s="36">
        <v>3</v>
      </c>
      <c r="D190" s="37">
        <f>'Обработка руды'!E164</f>
        <v>0</v>
      </c>
      <c r="E190" s="37">
        <f>$D189*'Коэффициенты (ПС)'!$G$8+Расчет!$D188*'Коэффициенты (ПС)'!$G$9+$D187*'Коэффициенты (ПС)'!$G$10+$D186*'Коэффициенты (ПС)'!$G$11+$D185*'Коэффициенты (ПС)'!$G$12+$D184*'Коэффициенты (ПС)'!$G$13+$D183*'Коэффициенты (ПС)'!$G$14+$D182*'Коэффициенты (ПС)'!$G$15+$D181*'Коэффициенты (ПС)'!$G$16+$D180*'Коэффициенты (ПС)'!$G$17+$D179*'Коэффициенты (ПС)'!$G$18+$D178*'Коэффициенты (ПС)'!$G$19+$D177*'Коэффициенты (ПС)'!$G$20+$D176*'Коэффициенты (ПС)'!$G$21+$D175*'Коэффициенты (ПС)'!$G$22+$D174*'Коэффициенты (ПС)'!$G$23+$D173*'Коэффициенты (ПС)'!$G$24+$D172*'Коэффициенты (ПС)'!$G$25+$D171*'Коэффициенты (ПС)'!$G$26+$D170*'Коэффициенты (ПС)'!$G$27+$D169*'Коэффициенты (ПС)'!$G$28+$D168*'Коэффициенты (ПС)'!$G$29+$D167*'Коэффициенты (ПС)'!$G$30+$D166*'Коэффициенты (ПС)'!$G$31+$D165*'Коэффициенты (ПС)'!$G$32+$D164*'Коэффициенты (ПС)'!$G$33+$D163*'Коэффициенты (ПС)'!$G$34+$D162*'Коэффициенты (ПС)'!$G$35+$D161*'Коэффициенты (ПС)'!$G$36+$D160*'Коэффициенты (ПС)'!$G$37+$D159*'Коэффициенты (ПС)'!$G$38+$D158*'Коэффициенты (ПС)'!$G$39+$D157*'Коэффициенты (ПС)'!$G$40+$D156*'Коэффициенты (ПС)'!$G$41+$D155*'Коэффициенты (ПС)'!$G$42+$D154*'Коэффициенты (ПС)'!$G$43+$D153*'Коэффициенты (ПС)'!$G$44+$D152*'Коэффициенты (ПС)'!$G$45+$D151*'Коэффициенты (ПС)'!$G$46+$D150*'Коэффициенты (ПС)'!$G$47+$D149*'Коэффициенты (ПС)'!$G$48+$D148*'Коэффициенты (ПС)'!$G$49+$D147*'Коэффициенты (ПС)'!$G$50+$D146*'Коэффициенты (ПС)'!$G$51+$D145*'Коэффициенты (ПС)'!$G$52+$D144*'Коэффициенты (ПС)'!$G$53+$D143*'Коэффициенты (ПС)'!$G$54+$D142*'Коэффициенты (ПС)'!$G$55+$D141*'Коэффициенты (ПС)'!$G$56+$D140*'Коэффициенты (ПС)'!$G$57+$D139*'Коэффициенты (ПС)'!$G$58+$D138*'Коэффициенты (ПС)'!$G$59+$D137*'Коэффициенты (ПС)'!$G$60+$D136*'Коэффициенты (ПС)'!$G$61+$D135*'Коэффициенты (ПС)'!$G$62+$D134*'Коэффициенты (ПС)'!$G$63+$D133*'Коэффициенты (ПС)'!$G$64+$D132*'Коэффициенты (ПС)'!$G$65+$D131*'Коэффициенты (ПС)'!$G$66+$D130*'Коэффициенты (ПС)'!$G$67</f>
        <v>2491.104488750138</v>
      </c>
      <c r="F190" s="37">
        <f>$D189*'Коэффициенты (БЛ)'!$G$7+Расчет!$D188*'Коэффициенты (БЛ)'!$G$8+$D187*'Коэффициенты (БЛ)'!$G$9+$D186*'Коэффициенты (БЛ)'!$G$10+$D185*'Коэффициенты (БЛ)'!$G$11+$D184*'Коэффициенты (БЛ)'!$G$12+$D183*'Коэффициенты (БЛ)'!$G$13+$D182*'Коэффициенты (БЛ)'!$G$14+$D181*'Коэффициенты (БЛ)'!$G$15+$D180*'Коэффициенты (БЛ)'!$G$16+$D179*'Коэффициенты (БЛ)'!$G$17+$D178*'Коэффициенты (БЛ)'!$G$18+$D177*'Коэффициенты (БЛ)'!$G$19+$D176*'Коэффициенты (БЛ)'!$G$20+$D175*'Коэффициенты (БЛ)'!$G$21+$D174*'Коэффициенты (БЛ)'!$G$22+$D173*'Коэффициенты (БЛ)'!$G$23+$D172*'Коэффициенты (БЛ)'!$G$24+$D171*'Коэффициенты (БЛ)'!$G$25+$D170*'Коэффициенты (БЛ)'!$G$26+$D169*'Коэффициенты (БЛ)'!$G$27+$D168*'Коэффициенты (БЛ)'!$G$28+$D167*'Коэффициенты (БЛ)'!$G$29+$D166*'Коэффициенты (БЛ)'!$G$30+$D165*'Коэффициенты (БЛ)'!$G$31+$D164*'Коэффициенты (БЛ)'!$G$32+$D163*'Коэффициенты (БЛ)'!$G$33+$D162*'Коэффициенты (БЛ)'!$G$34+$D161*'Коэффициенты (БЛ)'!$G$35+$D160*'Коэффициенты (БЛ)'!$G$36+$D159*'Коэффициенты (БЛ)'!$G$37+$D158*'Коэффициенты (БЛ)'!$G$38+$D157*'Коэффициенты (БЛ)'!$G$39+$D156*'Коэффициенты (БЛ)'!$G$40+$D155*'Коэффициенты (БЛ)'!$G$41+$D154*'Коэффициенты (БЛ)'!$G$42+$D153*'Коэффициенты (БЛ)'!$G$43+$D152*'Коэффициенты (БЛ)'!$G$44+$D151*'Коэффициенты (БЛ)'!$G$45+$D150*'Коэффициенты (БЛ)'!$G$46+$D149*'Коэффициенты (БЛ)'!$G$47+$D148*'Коэффициенты (БЛ)'!$G$48+$D147*'Коэффициенты (БЛ)'!$G$49+$D146*'Коэффициенты (БЛ)'!$G$50+$D145*'Коэффициенты (БЛ)'!$G$51+$D144*'Коэффициенты (БЛ)'!$G$52+$D143*'Коэффициенты (БЛ)'!$G$53+$D142*'Коэффициенты (БЛ)'!$G$54+$D141*'Коэффициенты (БЛ)'!$G$55+$D140*'Коэффициенты (БЛ)'!$G$56+$D139*'Коэффициенты (БЛ)'!$G$57+$D138*'Коэффициенты (БЛ)'!$G$58+$D137*'Коэффициенты (БЛ)'!$G$59+$D136*'Коэффициенты (БЛ)'!$G$60+$D135*'Коэффициенты (БЛ)'!$G$61+$D134*'Коэффициенты (БЛ)'!$G$62+$D133*'Коэффициенты (БЛ)'!$G$63+$D132*'Коэффициенты (БЛ)'!$G$64+$D131*'Коэффициенты (БЛ)'!$G$65+$D130*'Коэффициенты (БЛ)'!$G$66</f>
        <v>65.195184154184304</v>
      </c>
      <c r="G190" s="43">
        <v>1</v>
      </c>
      <c r="H190" s="43">
        <f t="shared" si="10"/>
        <v>2491.104488750138</v>
      </c>
      <c r="I190" s="43">
        <f t="shared" si="11"/>
        <v>65.195184154184304</v>
      </c>
    </row>
    <row r="191" spans="2:9" ht="18" customHeight="1" x14ac:dyDescent="0.35">
      <c r="B191" s="49"/>
      <c r="C191" s="36">
        <v>4</v>
      </c>
      <c r="D191" s="37">
        <f>'Обработка руды'!E165</f>
        <v>0</v>
      </c>
      <c r="E191" s="37">
        <f>$D190*'Коэффициенты (ПС)'!$G$8+Расчет!$D189*'Коэффициенты (ПС)'!$G$9+$D188*'Коэффициенты (ПС)'!$G$10+$D187*'Коэффициенты (ПС)'!$G$11+$D186*'Коэффициенты (ПС)'!$G$12+$D185*'Коэффициенты (ПС)'!$G$13+$D184*'Коэффициенты (ПС)'!$G$14+$D183*'Коэффициенты (ПС)'!$G$15+$D182*'Коэффициенты (ПС)'!$G$16+$D181*'Коэффициенты (ПС)'!$G$17+$D180*'Коэффициенты (ПС)'!$G$18+$D179*'Коэффициенты (ПС)'!$G$19+$D178*'Коэффициенты (ПС)'!$G$20+$D177*'Коэффициенты (ПС)'!$G$21+$D176*'Коэффициенты (ПС)'!$G$22+$D175*'Коэффициенты (ПС)'!$G$23+$D174*'Коэффициенты (ПС)'!$G$24+$D173*'Коэффициенты (ПС)'!$G$25+$D172*'Коэффициенты (ПС)'!$G$26+$D171*'Коэффициенты (ПС)'!$G$27+$D170*'Коэффициенты (ПС)'!$G$28+$D169*'Коэффициенты (ПС)'!$G$29+$D168*'Коэффициенты (ПС)'!$G$30+$D167*'Коэффициенты (ПС)'!$G$31+$D166*'Коэффициенты (ПС)'!$G$32+$D165*'Коэффициенты (ПС)'!$G$33+$D164*'Коэффициенты (ПС)'!$G$34+$D163*'Коэффициенты (ПС)'!$G$35+$D162*'Коэффициенты (ПС)'!$G$36+$D161*'Коэффициенты (ПС)'!$G$37+$D160*'Коэффициенты (ПС)'!$G$38+$D159*'Коэффициенты (ПС)'!$G$39+$D158*'Коэффициенты (ПС)'!$G$40+$D157*'Коэффициенты (ПС)'!$G$41+$D156*'Коэффициенты (ПС)'!$G$42+$D155*'Коэффициенты (ПС)'!$G$43+$D154*'Коэффициенты (ПС)'!$G$44+$D153*'Коэффициенты (ПС)'!$G$45+$D152*'Коэффициенты (ПС)'!$G$46+$D151*'Коэффициенты (ПС)'!$G$47+$D150*'Коэффициенты (ПС)'!$G$48+$D149*'Коэффициенты (ПС)'!$G$49+$D148*'Коэффициенты (ПС)'!$G$50+$D147*'Коэффициенты (ПС)'!$G$51+$D146*'Коэффициенты (ПС)'!$G$52+$D145*'Коэффициенты (ПС)'!$G$53+$D144*'Коэффициенты (ПС)'!$G$54+$D143*'Коэффициенты (ПС)'!$G$55+$D142*'Коэффициенты (ПС)'!$G$56+$D141*'Коэффициенты (ПС)'!$G$57+$D140*'Коэффициенты (ПС)'!$G$58+$D139*'Коэффициенты (ПС)'!$G$59+$D138*'Коэффициенты (ПС)'!$G$60+$D137*'Коэффициенты (ПС)'!$G$61+$D136*'Коэффициенты (ПС)'!$G$62+$D135*'Коэффициенты (ПС)'!$G$63+$D134*'Коэффициенты (ПС)'!$G$64+$D133*'Коэффициенты (ПС)'!$G$65+$D132*'Коэффициенты (ПС)'!$G$66+$D131*'Коэффициенты (ПС)'!$G$67</f>
        <v>1984.4228477585521</v>
      </c>
      <c r="F191" s="37">
        <f>$D190*'Коэффициенты (БЛ)'!$G$7+Расчет!$D189*'Коэффициенты (БЛ)'!$G$8+$D188*'Коэффициенты (БЛ)'!$G$9+$D187*'Коэффициенты (БЛ)'!$G$10+$D186*'Коэффициенты (БЛ)'!$G$11+$D185*'Коэффициенты (БЛ)'!$G$12+$D184*'Коэффициенты (БЛ)'!$G$13+$D183*'Коэффициенты (БЛ)'!$G$14+$D182*'Коэффициенты (БЛ)'!$G$15+$D181*'Коэффициенты (БЛ)'!$G$16+$D180*'Коэффициенты (БЛ)'!$G$17+$D179*'Коэффициенты (БЛ)'!$G$18+$D178*'Коэффициенты (БЛ)'!$G$19+$D177*'Коэффициенты (БЛ)'!$G$20+$D176*'Коэффициенты (БЛ)'!$G$21+$D175*'Коэффициенты (БЛ)'!$G$22+$D174*'Коэффициенты (БЛ)'!$G$23+$D173*'Коэффициенты (БЛ)'!$G$24+$D172*'Коэффициенты (БЛ)'!$G$25+$D171*'Коэффициенты (БЛ)'!$G$26+$D170*'Коэффициенты (БЛ)'!$G$27+$D169*'Коэффициенты (БЛ)'!$G$28+$D168*'Коэффициенты (БЛ)'!$G$29+$D167*'Коэффициенты (БЛ)'!$G$30+$D166*'Коэффициенты (БЛ)'!$G$31+$D165*'Коэффициенты (БЛ)'!$G$32+$D164*'Коэффициенты (БЛ)'!$G$33+$D163*'Коэффициенты (БЛ)'!$G$34+$D162*'Коэффициенты (БЛ)'!$G$35+$D161*'Коэффициенты (БЛ)'!$G$36+$D160*'Коэффициенты (БЛ)'!$G$37+$D159*'Коэффициенты (БЛ)'!$G$38+$D158*'Коэффициенты (БЛ)'!$G$39+$D157*'Коэффициенты (БЛ)'!$G$40+$D156*'Коэффициенты (БЛ)'!$G$41+$D155*'Коэффициенты (БЛ)'!$G$42+$D154*'Коэффициенты (БЛ)'!$G$43+$D153*'Коэффициенты (БЛ)'!$G$44+$D152*'Коэффициенты (БЛ)'!$G$45+$D151*'Коэффициенты (БЛ)'!$G$46+$D150*'Коэффициенты (БЛ)'!$G$47+$D149*'Коэффициенты (БЛ)'!$G$48+$D148*'Коэффициенты (БЛ)'!$G$49+$D147*'Коэффициенты (БЛ)'!$G$50+$D146*'Коэффициенты (БЛ)'!$G$51+$D145*'Коэффициенты (БЛ)'!$G$52+$D144*'Коэффициенты (БЛ)'!$G$53+$D143*'Коэффициенты (БЛ)'!$G$54+$D142*'Коэффициенты (БЛ)'!$G$55+$D141*'Коэффициенты (БЛ)'!$G$56+$D140*'Коэффициенты (БЛ)'!$G$57+$D139*'Коэффициенты (БЛ)'!$G$58+$D138*'Коэффициенты (БЛ)'!$G$59+$D137*'Коэффициенты (БЛ)'!$G$60+$D136*'Коэффициенты (БЛ)'!$G$61+$D135*'Коэффициенты (БЛ)'!$G$62+$D134*'Коэффициенты (БЛ)'!$G$63+$D133*'Коэффициенты (БЛ)'!$G$64+$D132*'Коэффициенты (БЛ)'!$G$65+$D131*'Коэффициенты (БЛ)'!$G$66</f>
        <v>51.934719552571174</v>
      </c>
      <c r="G191" s="43">
        <v>1</v>
      </c>
      <c r="H191" s="43">
        <f t="shared" ref="H191:H222" si="12">E191*G191</f>
        <v>1984.4228477585521</v>
      </c>
      <c r="I191" s="43">
        <f t="shared" ref="I191:I209" si="13">F191*G191</f>
        <v>51.934719552571174</v>
      </c>
    </row>
    <row r="192" spans="2:9" ht="18" customHeight="1" x14ac:dyDescent="0.35">
      <c r="B192" s="49"/>
      <c r="C192" s="36">
        <v>5</v>
      </c>
      <c r="D192" s="37">
        <f>'Обработка руды'!E166</f>
        <v>0</v>
      </c>
      <c r="E192" s="37">
        <f>$D191*'Коэффициенты (ПС)'!$G$8+Расчет!$D190*'Коэффициенты (ПС)'!$G$9+$D189*'Коэффициенты (ПС)'!$G$10+$D188*'Коэффициенты (ПС)'!$G$11+$D187*'Коэффициенты (ПС)'!$G$12+$D186*'Коэффициенты (ПС)'!$G$13+$D185*'Коэффициенты (ПС)'!$G$14+$D184*'Коэффициенты (ПС)'!$G$15+$D183*'Коэффициенты (ПС)'!$G$16+$D182*'Коэффициенты (ПС)'!$G$17+$D181*'Коэффициенты (ПС)'!$G$18+$D180*'Коэффициенты (ПС)'!$G$19+$D179*'Коэффициенты (ПС)'!$G$20+$D178*'Коэффициенты (ПС)'!$G$21+$D177*'Коэффициенты (ПС)'!$G$22+$D176*'Коэффициенты (ПС)'!$G$23+$D175*'Коэффициенты (ПС)'!$G$24+$D174*'Коэффициенты (ПС)'!$G$25+$D173*'Коэффициенты (ПС)'!$G$26+$D172*'Коэффициенты (ПС)'!$G$27+$D171*'Коэффициенты (ПС)'!$G$28+$D170*'Коэффициенты (ПС)'!$G$29+$D169*'Коэффициенты (ПС)'!$G$30+$D168*'Коэффициенты (ПС)'!$G$31+$D167*'Коэффициенты (ПС)'!$G$32+$D166*'Коэффициенты (ПС)'!$G$33+$D165*'Коэффициенты (ПС)'!$G$34+$D164*'Коэффициенты (ПС)'!$G$35+$D163*'Коэффициенты (ПС)'!$G$36+$D162*'Коэффициенты (ПС)'!$G$37+$D161*'Коэффициенты (ПС)'!$G$38+$D160*'Коэффициенты (ПС)'!$G$39+$D159*'Коэффициенты (ПС)'!$G$40+$D158*'Коэффициенты (ПС)'!$G$41+$D157*'Коэффициенты (ПС)'!$G$42+$D156*'Коэффициенты (ПС)'!$G$43+$D155*'Коэффициенты (ПС)'!$G$44+$D154*'Коэффициенты (ПС)'!$G$45+$D153*'Коэффициенты (ПС)'!$G$46+$D152*'Коэффициенты (ПС)'!$G$47+$D151*'Коэффициенты (ПС)'!$G$48+$D150*'Коэффициенты (ПС)'!$G$49+$D149*'Коэффициенты (ПС)'!$G$50+$D148*'Коэффициенты (ПС)'!$G$51+$D147*'Коэффициенты (ПС)'!$G$52+$D146*'Коэффициенты (ПС)'!$G$53+$D145*'Коэффициенты (ПС)'!$G$54+$D144*'Коэффициенты (ПС)'!$G$55+$D143*'Коэффициенты (ПС)'!$G$56+$D142*'Коэффициенты (ПС)'!$G$57+$D141*'Коэффициенты (ПС)'!$G$58+$D140*'Коэффициенты (ПС)'!$G$59+$D139*'Коэффициенты (ПС)'!$G$60+$D138*'Коэффициенты (ПС)'!$G$61+$D137*'Коэффициенты (ПС)'!$G$62+$D136*'Коэффициенты (ПС)'!$G$63+$D135*'Коэффициенты (ПС)'!$G$64+$D134*'Коэффициенты (ПС)'!$G$65+$D133*'Коэффициенты (ПС)'!$G$66+$D132*'Коэффициенты (ПС)'!$G$67</f>
        <v>1909.6483143692719</v>
      </c>
      <c r="F192" s="37">
        <f>$D191*'Коэффициенты (БЛ)'!$G$7+Расчет!$D190*'Коэффициенты (БЛ)'!$G$8+$D189*'Коэффициенты (БЛ)'!$G$9+$D188*'Коэффициенты (БЛ)'!$G$10+$D187*'Коэффициенты (БЛ)'!$G$11+$D186*'Коэффициенты (БЛ)'!$G$12+$D185*'Коэффициенты (БЛ)'!$G$13+$D184*'Коэффициенты (БЛ)'!$G$14+$D183*'Коэффициенты (БЛ)'!$G$15+$D182*'Коэффициенты (БЛ)'!$G$16+$D181*'Коэффициенты (БЛ)'!$G$17+$D180*'Коэффициенты (БЛ)'!$G$18+$D179*'Коэффициенты (БЛ)'!$G$19+$D178*'Коэффициенты (БЛ)'!$G$20+$D177*'Коэффициенты (БЛ)'!$G$21+$D176*'Коэффициенты (БЛ)'!$G$22+$D175*'Коэффициенты (БЛ)'!$G$23+$D174*'Коэффициенты (БЛ)'!$G$24+$D173*'Коэффициенты (БЛ)'!$G$25+$D172*'Коэффициенты (БЛ)'!$G$26+$D171*'Коэффициенты (БЛ)'!$G$27+$D170*'Коэффициенты (БЛ)'!$G$28+$D169*'Коэффициенты (БЛ)'!$G$29+$D168*'Коэффициенты (БЛ)'!$G$30+$D167*'Коэффициенты (БЛ)'!$G$31+$D166*'Коэффициенты (БЛ)'!$G$32+$D165*'Коэффициенты (БЛ)'!$G$33+$D164*'Коэффициенты (БЛ)'!$G$34+$D163*'Коэффициенты (БЛ)'!$G$35+$D162*'Коэффициенты (БЛ)'!$G$36+$D161*'Коэффициенты (БЛ)'!$G$37+$D160*'Коэффициенты (БЛ)'!$G$38+$D159*'Коэффициенты (БЛ)'!$G$39+$D158*'Коэффициенты (БЛ)'!$G$40+$D157*'Коэффициенты (БЛ)'!$G$41+$D156*'Коэффициенты (БЛ)'!$G$42+$D155*'Коэффициенты (БЛ)'!$G$43+$D154*'Коэффициенты (БЛ)'!$G$44+$D153*'Коэффициенты (БЛ)'!$G$45+$D152*'Коэффициенты (БЛ)'!$G$46+$D151*'Коэффициенты (БЛ)'!$G$47+$D150*'Коэффициенты (БЛ)'!$G$48+$D149*'Коэффициенты (БЛ)'!$G$49+$D148*'Коэффициенты (БЛ)'!$G$50+$D147*'Коэффициенты (БЛ)'!$G$51+$D146*'Коэффициенты (БЛ)'!$G$52+$D145*'Коэффициенты (БЛ)'!$G$53+$D144*'Коэффициенты (БЛ)'!$G$54+$D143*'Коэффициенты (БЛ)'!$G$55+$D142*'Коэффициенты (БЛ)'!$G$56+$D141*'Коэффициенты (БЛ)'!$G$57+$D140*'Коэффициенты (БЛ)'!$G$58+$D139*'Коэффициенты (БЛ)'!$G$59+$D138*'Коэффициенты (БЛ)'!$G$60+$D137*'Коэффициенты (БЛ)'!$G$61+$D136*'Коэффициенты (БЛ)'!$G$62+$D135*'Коэффициенты (БЛ)'!$G$63+$D134*'Коэффициенты (БЛ)'!$G$64+$D133*'Коэффициенты (БЛ)'!$G$65+$D132*'Коэффициенты (БЛ)'!$G$66</f>
        <v>49.977780573747665</v>
      </c>
      <c r="G192" s="43">
        <v>1</v>
      </c>
      <c r="H192" s="43">
        <f t="shared" si="12"/>
        <v>1909.6483143692719</v>
      </c>
      <c r="I192" s="43">
        <f t="shared" si="13"/>
        <v>49.977780573747665</v>
      </c>
    </row>
    <row r="193" spans="2:9" ht="18" customHeight="1" x14ac:dyDescent="0.35">
      <c r="B193" s="49"/>
      <c r="C193" s="36">
        <v>6</v>
      </c>
      <c r="D193" s="37">
        <f>'Обработка руды'!E167</f>
        <v>0</v>
      </c>
      <c r="E193" s="37">
        <f>$D192*'Коэффициенты (ПС)'!$G$8+Расчет!$D191*'Коэффициенты (ПС)'!$G$9+$D190*'Коэффициенты (ПС)'!$G$10+$D189*'Коэффициенты (ПС)'!$G$11+$D188*'Коэффициенты (ПС)'!$G$12+$D187*'Коэффициенты (ПС)'!$G$13+$D186*'Коэффициенты (ПС)'!$G$14+$D185*'Коэффициенты (ПС)'!$G$15+$D184*'Коэффициенты (ПС)'!$G$16+$D183*'Коэффициенты (ПС)'!$G$17+$D182*'Коэффициенты (ПС)'!$G$18+$D181*'Коэффициенты (ПС)'!$G$19+$D180*'Коэффициенты (ПС)'!$G$20+$D179*'Коэффициенты (ПС)'!$G$21+$D178*'Коэффициенты (ПС)'!$G$22+$D177*'Коэффициенты (ПС)'!$G$23+$D176*'Коэффициенты (ПС)'!$G$24+$D175*'Коэффициенты (ПС)'!$G$25+$D174*'Коэффициенты (ПС)'!$G$26+$D173*'Коэффициенты (ПС)'!$G$27+$D172*'Коэффициенты (ПС)'!$G$28+$D171*'Коэффициенты (ПС)'!$G$29+$D170*'Коэффициенты (ПС)'!$G$30+$D169*'Коэффициенты (ПС)'!$G$31+$D168*'Коэффициенты (ПС)'!$G$32+$D167*'Коэффициенты (ПС)'!$G$33+$D166*'Коэффициенты (ПС)'!$G$34+$D165*'Коэффициенты (ПС)'!$G$35+$D164*'Коэффициенты (ПС)'!$G$36+$D163*'Коэффициенты (ПС)'!$G$37+$D162*'Коэффициенты (ПС)'!$G$38+$D161*'Коэффициенты (ПС)'!$G$39+$D160*'Коэффициенты (ПС)'!$G$40+$D159*'Коэффициенты (ПС)'!$G$41+$D158*'Коэффициенты (ПС)'!$G$42+$D157*'Коэффициенты (ПС)'!$G$43+$D156*'Коэффициенты (ПС)'!$G$44+$D155*'Коэффициенты (ПС)'!$G$45+$D154*'Коэффициенты (ПС)'!$G$46+$D153*'Коэффициенты (ПС)'!$G$47+$D152*'Коэффициенты (ПС)'!$G$48+$D151*'Коэффициенты (ПС)'!$G$49+$D150*'Коэффициенты (ПС)'!$G$50+$D149*'Коэффициенты (ПС)'!$G$51+$D148*'Коэффициенты (ПС)'!$G$52+$D147*'Коэффициенты (ПС)'!$G$53+$D146*'Коэффициенты (ПС)'!$G$54+$D145*'Коэффициенты (ПС)'!$G$55+$D144*'Коэффициенты (ПС)'!$G$56+$D143*'Коэффициенты (ПС)'!$G$57+$D142*'Коэффициенты (ПС)'!$G$58+$D141*'Коэффициенты (ПС)'!$G$59+$D140*'Коэффициенты (ПС)'!$G$60+$D139*'Коэффициенты (ПС)'!$G$61+$D138*'Коэффициенты (ПС)'!$G$62+$D137*'Коэффициенты (ПС)'!$G$63+$D136*'Коэффициенты (ПС)'!$G$64+$D135*'Коэффициенты (ПС)'!$G$65+$D134*'Коэффициенты (ПС)'!$G$66+$D133*'Коэффициенты (ПС)'!$G$67</f>
        <v>1781.2418690684249</v>
      </c>
      <c r="F193" s="37">
        <f>$D192*'Коэффициенты (БЛ)'!$G$7+Расчет!$D191*'Коэффициенты (БЛ)'!$G$8+$D190*'Коэффициенты (БЛ)'!$G$9+$D189*'Коэффициенты (БЛ)'!$G$10+$D188*'Коэффициенты (БЛ)'!$G$11+$D187*'Коэффициенты (БЛ)'!$G$12+$D186*'Коэффициенты (БЛ)'!$G$13+$D185*'Коэффициенты (БЛ)'!$G$14+$D184*'Коэффициенты (БЛ)'!$G$15+$D183*'Коэффициенты (БЛ)'!$G$16+$D182*'Коэффициенты (БЛ)'!$G$17+$D181*'Коэффициенты (БЛ)'!$G$18+$D180*'Коэффициенты (БЛ)'!$G$19+$D179*'Коэффициенты (БЛ)'!$G$20+$D178*'Коэффициенты (БЛ)'!$G$21+$D177*'Коэффициенты (БЛ)'!$G$22+$D176*'Коэффициенты (БЛ)'!$G$23+$D175*'Коэффициенты (БЛ)'!$G$24+$D174*'Коэффициенты (БЛ)'!$G$25+$D173*'Коэффициенты (БЛ)'!$G$26+$D172*'Коэффициенты (БЛ)'!$G$27+$D171*'Коэффициенты (БЛ)'!$G$28+$D170*'Коэффициенты (БЛ)'!$G$29+$D169*'Коэффициенты (БЛ)'!$G$30+$D168*'Коэффициенты (БЛ)'!$G$31+$D167*'Коэффициенты (БЛ)'!$G$32+$D166*'Коэффициенты (БЛ)'!$G$33+$D165*'Коэффициенты (БЛ)'!$G$34+$D164*'Коэффициенты (БЛ)'!$G$35+$D163*'Коэффициенты (БЛ)'!$G$36+$D162*'Коэффициенты (БЛ)'!$G$37+$D161*'Коэффициенты (БЛ)'!$G$38+$D160*'Коэффициенты (БЛ)'!$G$39+$D159*'Коэффициенты (БЛ)'!$G$40+$D158*'Коэффициенты (БЛ)'!$G$41+$D157*'Коэффициенты (БЛ)'!$G$42+$D156*'Коэффициенты (БЛ)'!$G$43+$D155*'Коэффициенты (БЛ)'!$G$44+$D154*'Коэффициенты (БЛ)'!$G$45+$D153*'Коэффициенты (БЛ)'!$G$46+$D152*'Коэффициенты (БЛ)'!$G$47+$D151*'Коэффициенты (БЛ)'!$G$48+$D150*'Коэффициенты (БЛ)'!$G$49+$D149*'Коэффициенты (БЛ)'!$G$50+$D148*'Коэффициенты (БЛ)'!$G$51+$D147*'Коэффициенты (БЛ)'!$G$52+$D146*'Коэффициенты (БЛ)'!$G$53+$D145*'Коэффициенты (БЛ)'!$G$54+$D144*'Коэффициенты (БЛ)'!$G$55+$D143*'Коэффициенты (БЛ)'!$G$56+$D142*'Коэффициенты (БЛ)'!$G$57+$D141*'Коэффициенты (БЛ)'!$G$58+$D140*'Коэффициенты (БЛ)'!$G$59+$D139*'Коэффициенты (БЛ)'!$G$60+$D138*'Коэффициенты (БЛ)'!$G$61+$D137*'Коэффициенты (БЛ)'!$G$62+$D136*'Коэффициенты (БЛ)'!$G$63+$D135*'Коэффициенты (БЛ)'!$G$64+$D134*'Коэффициенты (БЛ)'!$G$65+$D133*'Коэффициенты (БЛ)'!$G$66</f>
        <v>46.617230309486018</v>
      </c>
      <c r="G193" s="43">
        <v>1</v>
      </c>
      <c r="H193" s="43">
        <f t="shared" si="12"/>
        <v>1781.2418690684249</v>
      </c>
      <c r="I193" s="43">
        <f t="shared" si="13"/>
        <v>46.617230309486018</v>
      </c>
    </row>
    <row r="194" spans="2:9" ht="18" customHeight="1" x14ac:dyDescent="0.35">
      <c r="B194" s="49"/>
      <c r="C194" s="36">
        <v>7</v>
      </c>
      <c r="D194" s="37">
        <f>'Обработка руды'!E168</f>
        <v>0</v>
      </c>
      <c r="E194" s="37">
        <f>$D193*'Коэффициенты (ПС)'!$G$8+Расчет!$D192*'Коэффициенты (ПС)'!$G$9+$D191*'Коэффициенты (ПС)'!$G$10+$D190*'Коэффициенты (ПС)'!$G$11+$D189*'Коэффициенты (ПС)'!$G$12+$D188*'Коэффициенты (ПС)'!$G$13+$D187*'Коэффициенты (ПС)'!$G$14+$D186*'Коэффициенты (ПС)'!$G$15+$D185*'Коэффициенты (ПС)'!$G$16+$D184*'Коэффициенты (ПС)'!$G$17+$D183*'Коэффициенты (ПС)'!$G$18+$D182*'Коэффициенты (ПС)'!$G$19+$D181*'Коэффициенты (ПС)'!$G$20+$D180*'Коэффициенты (ПС)'!$G$21+$D179*'Коэффициенты (ПС)'!$G$22+$D178*'Коэффициенты (ПС)'!$G$23+$D177*'Коэффициенты (ПС)'!$G$24+$D176*'Коэффициенты (ПС)'!$G$25+$D175*'Коэффициенты (ПС)'!$G$26+$D174*'Коэффициенты (ПС)'!$G$27+$D173*'Коэффициенты (ПС)'!$G$28+$D172*'Коэффициенты (ПС)'!$G$29+$D171*'Коэффициенты (ПС)'!$G$30+$D170*'Коэффициенты (ПС)'!$G$31+$D169*'Коэффициенты (ПС)'!$G$32+$D168*'Коэффициенты (ПС)'!$G$33+$D167*'Коэффициенты (ПС)'!$G$34+$D166*'Коэффициенты (ПС)'!$G$35+$D165*'Коэффициенты (ПС)'!$G$36+$D164*'Коэффициенты (ПС)'!$G$37+$D163*'Коэффициенты (ПС)'!$G$38+$D162*'Коэффициенты (ПС)'!$G$39+$D161*'Коэффициенты (ПС)'!$G$40+$D160*'Коэффициенты (ПС)'!$G$41+$D159*'Коэффициенты (ПС)'!$G$42+$D158*'Коэффициенты (ПС)'!$G$43+$D157*'Коэффициенты (ПС)'!$G$44+$D156*'Коэффициенты (ПС)'!$G$45+$D155*'Коэффициенты (ПС)'!$G$46+$D154*'Коэффициенты (ПС)'!$G$47+$D153*'Коэффициенты (ПС)'!$G$48+$D152*'Коэффициенты (ПС)'!$G$49+$D151*'Коэффициенты (ПС)'!$G$50+$D150*'Коэффициенты (ПС)'!$G$51+$D149*'Коэффициенты (ПС)'!$G$52+$D148*'Коэффициенты (ПС)'!$G$53+$D147*'Коэффициенты (ПС)'!$G$54+$D146*'Коэффициенты (ПС)'!$G$55+$D145*'Коэффициенты (ПС)'!$G$56+$D144*'Коэффициенты (ПС)'!$G$57+$D143*'Коэффициенты (ПС)'!$G$58+$D142*'Коэффициенты (ПС)'!$G$59+$D141*'Коэффициенты (ПС)'!$G$60+$D140*'Коэффициенты (ПС)'!$G$61+$D139*'Коэффициенты (ПС)'!$G$62+$D138*'Коэффициенты (ПС)'!$G$63+$D137*'Коэффициенты (ПС)'!$G$64+$D136*'Коэффициенты (ПС)'!$G$65+$D135*'Коэффициенты (ПС)'!$G$66+$D134*'Коэффициенты (ПС)'!$G$67</f>
        <v>1749.0106960585329</v>
      </c>
      <c r="F194" s="37">
        <f>$D193*'Коэффициенты (БЛ)'!$G$7+Расчет!$D192*'Коэффициенты (БЛ)'!$G$8+$D191*'Коэффициенты (БЛ)'!$G$9+$D190*'Коэффициенты (БЛ)'!$G$10+$D189*'Коэффициенты (БЛ)'!$G$11+$D188*'Коэффициенты (БЛ)'!$G$12+$D187*'Коэффициенты (БЛ)'!$G$13+$D186*'Коэффициенты (БЛ)'!$G$14+$D185*'Коэффициенты (БЛ)'!$G$15+$D184*'Коэффициенты (БЛ)'!$G$16+$D183*'Коэффициенты (БЛ)'!$G$17+$D182*'Коэффициенты (БЛ)'!$G$18+$D181*'Коэффициенты (БЛ)'!$G$19+$D180*'Коэффициенты (БЛ)'!$G$20+$D179*'Коэффициенты (БЛ)'!$G$21+$D178*'Коэффициенты (БЛ)'!$G$22+$D177*'Коэффициенты (БЛ)'!$G$23+$D176*'Коэффициенты (БЛ)'!$G$24+$D175*'Коэффициенты (БЛ)'!$G$25+$D174*'Коэффициенты (БЛ)'!$G$26+$D173*'Коэффициенты (БЛ)'!$G$27+$D172*'Коэффициенты (БЛ)'!$G$28+$D171*'Коэффициенты (БЛ)'!$G$29+$D170*'Коэффициенты (БЛ)'!$G$30+$D169*'Коэффициенты (БЛ)'!$G$31+$D168*'Коэффициенты (БЛ)'!$G$32+$D167*'Коэффициенты (БЛ)'!$G$33+$D166*'Коэффициенты (БЛ)'!$G$34+$D165*'Коэффициенты (БЛ)'!$G$35+$D164*'Коэффициенты (БЛ)'!$G$36+$D163*'Коэффициенты (БЛ)'!$G$37+$D162*'Коэффициенты (БЛ)'!$G$38+$D161*'Коэффициенты (БЛ)'!$G$39+$D160*'Коэффициенты (БЛ)'!$G$40+$D159*'Коэффициенты (БЛ)'!$G$41+$D158*'Коэффициенты (БЛ)'!$G$42+$D157*'Коэффициенты (БЛ)'!$G$43+$D156*'Коэффициенты (БЛ)'!$G$44+$D155*'Коэффициенты (БЛ)'!$G$45+$D154*'Коэффициенты (БЛ)'!$G$46+$D153*'Коэффициенты (БЛ)'!$G$47+$D152*'Коэффициенты (БЛ)'!$G$48+$D151*'Коэффициенты (БЛ)'!$G$49+$D150*'Коэффициенты (БЛ)'!$G$50+$D149*'Коэффициенты (БЛ)'!$G$51+$D148*'Коэффициенты (БЛ)'!$G$52+$D147*'Коэффициенты (БЛ)'!$G$53+$D146*'Коэффициенты (БЛ)'!$G$54+$D145*'Коэффициенты (БЛ)'!$G$55+$D144*'Коэффициенты (БЛ)'!$G$56+$D143*'Коэффициенты (БЛ)'!$G$57+$D142*'Коэффициенты (БЛ)'!$G$58+$D141*'Коэффициенты (БЛ)'!$G$59+$D140*'Коэффициенты (БЛ)'!$G$60+$D139*'Коэффициенты (БЛ)'!$G$61+$D138*'Коэффициенты (БЛ)'!$G$62+$D137*'Коэффициенты (БЛ)'!$G$63+$D136*'Коэффициенты (БЛ)'!$G$64+$D135*'Коэффициенты (БЛ)'!$G$65+$D134*'Коэффициенты (БЛ)'!$G$66</f>
        <v>45.773701959159837</v>
      </c>
      <c r="G194" s="43">
        <v>1</v>
      </c>
      <c r="H194" s="43">
        <f t="shared" si="12"/>
        <v>1749.0106960585329</v>
      </c>
      <c r="I194" s="43">
        <f t="shared" si="13"/>
        <v>45.773701959159837</v>
      </c>
    </row>
    <row r="195" spans="2:9" ht="18" customHeight="1" x14ac:dyDescent="0.35">
      <c r="B195" s="49"/>
      <c r="C195" s="36">
        <v>8</v>
      </c>
      <c r="D195" s="37">
        <f>'Обработка руды'!E169</f>
        <v>0</v>
      </c>
      <c r="E195" s="37">
        <f>$D194*'Коэффициенты (ПС)'!$G$8+Расчет!$D193*'Коэффициенты (ПС)'!$G$9+$D192*'Коэффициенты (ПС)'!$G$10+$D191*'Коэффициенты (ПС)'!$G$11+$D190*'Коэффициенты (ПС)'!$G$12+$D189*'Коэффициенты (ПС)'!$G$13+$D188*'Коэффициенты (ПС)'!$G$14+$D187*'Коэффициенты (ПС)'!$G$15+$D186*'Коэффициенты (ПС)'!$G$16+$D185*'Коэффициенты (ПС)'!$G$17+$D184*'Коэффициенты (ПС)'!$G$18+$D183*'Коэффициенты (ПС)'!$G$19+$D182*'Коэффициенты (ПС)'!$G$20+$D181*'Коэффициенты (ПС)'!$G$21+$D180*'Коэффициенты (ПС)'!$G$22+$D179*'Коэффициенты (ПС)'!$G$23+$D178*'Коэффициенты (ПС)'!$G$24+$D177*'Коэффициенты (ПС)'!$G$25+$D176*'Коэффициенты (ПС)'!$G$26+$D175*'Коэффициенты (ПС)'!$G$27+$D174*'Коэффициенты (ПС)'!$G$28+$D173*'Коэффициенты (ПС)'!$G$29+$D172*'Коэффициенты (ПС)'!$G$30+$D171*'Коэффициенты (ПС)'!$G$31+$D170*'Коэффициенты (ПС)'!$G$32+$D169*'Коэффициенты (ПС)'!$G$33+$D168*'Коэффициенты (ПС)'!$G$34+$D167*'Коэффициенты (ПС)'!$G$35+$D166*'Коэффициенты (ПС)'!$G$36+$D165*'Коэффициенты (ПС)'!$G$37+$D164*'Коэффициенты (ПС)'!$G$38+$D163*'Коэффициенты (ПС)'!$G$39+$D162*'Коэффициенты (ПС)'!$G$40+$D161*'Коэффициенты (ПС)'!$G$41+$D160*'Коэффициенты (ПС)'!$G$42+$D159*'Коэффициенты (ПС)'!$G$43+$D158*'Коэффициенты (ПС)'!$G$44+$D157*'Коэффициенты (ПС)'!$G$45+$D156*'Коэффициенты (ПС)'!$G$46+$D155*'Коэффициенты (ПС)'!$G$47+$D154*'Коэффициенты (ПС)'!$G$48+$D153*'Коэффициенты (ПС)'!$G$49+$D152*'Коэффициенты (ПС)'!$G$50+$D151*'Коэффициенты (ПС)'!$G$51+$D150*'Коэффициенты (ПС)'!$G$52+$D149*'Коэффициенты (ПС)'!$G$53+$D148*'Коэффициенты (ПС)'!$G$54+$D147*'Коэффициенты (ПС)'!$G$55+$D146*'Коэффициенты (ПС)'!$G$56+$D145*'Коэффициенты (ПС)'!$G$57+$D144*'Коэффициенты (ПС)'!$G$58+$D143*'Коэффициенты (ПС)'!$G$59+$D142*'Коэффициенты (ПС)'!$G$60+$D141*'Коэффициенты (ПС)'!$G$61+$D140*'Коэффициенты (ПС)'!$G$62+$D139*'Коэффициенты (ПС)'!$G$63+$D138*'Коэффициенты (ПС)'!$G$64+$D137*'Коэффициенты (ПС)'!$G$65+$D136*'Коэффициенты (ПС)'!$G$66+$D135*'Коэффициенты (ПС)'!$G$67</f>
        <v>1660.2751540243355</v>
      </c>
      <c r="F195" s="37">
        <f>$D194*'Коэффициенты (БЛ)'!$G$7+Расчет!$D193*'Коэффициенты (БЛ)'!$G$8+$D192*'Коэффициенты (БЛ)'!$G$9+$D191*'Коэффициенты (БЛ)'!$G$10+$D190*'Коэффициенты (БЛ)'!$G$11+$D189*'Коэффициенты (БЛ)'!$G$12+$D188*'Коэффициенты (БЛ)'!$G$13+$D187*'Коэффициенты (БЛ)'!$G$14+$D186*'Коэффициенты (БЛ)'!$G$15+$D185*'Коэффициенты (БЛ)'!$G$16+$D184*'Коэффициенты (БЛ)'!$G$17+$D183*'Коэффициенты (БЛ)'!$G$18+$D182*'Коэффициенты (БЛ)'!$G$19+$D181*'Коэффициенты (БЛ)'!$G$20+$D180*'Коэффициенты (БЛ)'!$G$21+$D179*'Коэффициенты (БЛ)'!$G$22+$D178*'Коэффициенты (БЛ)'!$G$23+$D177*'Коэффициенты (БЛ)'!$G$24+$D176*'Коэффициенты (БЛ)'!$G$25+$D175*'Коэффициенты (БЛ)'!$G$26+$D174*'Коэффициенты (БЛ)'!$G$27+$D173*'Коэффициенты (БЛ)'!$G$28+$D172*'Коэффициенты (БЛ)'!$G$29+$D171*'Коэффициенты (БЛ)'!$G$30+$D170*'Коэффициенты (БЛ)'!$G$31+$D169*'Коэффициенты (БЛ)'!$G$32+$D168*'Коэффициенты (БЛ)'!$G$33+$D167*'Коэффициенты (БЛ)'!$G$34+$D166*'Коэффициенты (БЛ)'!$G$35+$D165*'Коэффициенты (БЛ)'!$G$36+$D164*'Коэффициенты (БЛ)'!$G$37+$D163*'Коэффициенты (БЛ)'!$G$38+$D162*'Коэффициенты (БЛ)'!$G$39+$D161*'Коэффициенты (БЛ)'!$G$40+$D160*'Коэффициенты (БЛ)'!$G$41+$D159*'Коэффициенты (БЛ)'!$G$42+$D158*'Коэффициенты (БЛ)'!$G$43+$D157*'Коэффициенты (БЛ)'!$G$44+$D156*'Коэффициенты (БЛ)'!$G$45+$D155*'Коэффициенты (БЛ)'!$G$46+$D154*'Коэффициенты (БЛ)'!$G$47+$D153*'Коэффициенты (БЛ)'!$G$48+$D152*'Коэффициенты (БЛ)'!$G$49+$D151*'Коэффициенты (БЛ)'!$G$50+$D150*'Коэффициенты (БЛ)'!$G$51+$D149*'Коэффициенты (БЛ)'!$G$52+$D148*'Коэффициенты (БЛ)'!$G$53+$D147*'Коэффициенты (БЛ)'!$G$54+$D146*'Коэффициенты (БЛ)'!$G$55+$D145*'Коэффициенты (БЛ)'!$G$56+$D144*'Коэффициенты (БЛ)'!$G$57+$D143*'Коэффициенты (БЛ)'!$G$58+$D142*'Коэффициенты (БЛ)'!$G$59+$D141*'Коэффициенты (БЛ)'!$G$60+$D140*'Коэффициенты (БЛ)'!$G$61+$D139*'Коэффициенты (БЛ)'!$G$62+$D138*'Коэффициенты (БЛ)'!$G$63+$D137*'Коэффициенты (БЛ)'!$G$64+$D136*'Коэффициенты (БЛ)'!$G$65+$D135*'Коэффициенты (БЛ)'!$G$66</f>
        <v>43.451386684924479</v>
      </c>
      <c r="G195" s="43">
        <v>1</v>
      </c>
      <c r="H195" s="43">
        <f t="shared" si="12"/>
        <v>1660.2751540243355</v>
      </c>
      <c r="I195" s="43">
        <f t="shared" si="13"/>
        <v>43.451386684924479</v>
      </c>
    </row>
    <row r="196" spans="2:9" ht="18" customHeight="1" x14ac:dyDescent="0.35">
      <c r="B196" s="49"/>
      <c r="C196" s="36">
        <v>9</v>
      </c>
      <c r="D196" s="37">
        <f>'Обработка руды'!E170</f>
        <v>0</v>
      </c>
      <c r="E196" s="37">
        <f>$D195*'Коэффициенты (ПС)'!$G$8+Расчет!$D194*'Коэффициенты (ПС)'!$G$9+$D193*'Коэффициенты (ПС)'!$G$10+$D192*'Коэффициенты (ПС)'!$G$11+$D191*'Коэффициенты (ПС)'!$G$12+$D190*'Коэффициенты (ПС)'!$G$13+$D189*'Коэффициенты (ПС)'!$G$14+$D188*'Коэффициенты (ПС)'!$G$15+$D187*'Коэффициенты (ПС)'!$G$16+$D186*'Коэффициенты (ПС)'!$G$17+$D185*'Коэффициенты (ПС)'!$G$18+$D184*'Коэффициенты (ПС)'!$G$19+$D183*'Коэффициенты (ПС)'!$G$20+$D182*'Коэффициенты (ПС)'!$G$21+$D181*'Коэффициенты (ПС)'!$G$22+$D180*'Коэффициенты (ПС)'!$G$23+$D179*'Коэффициенты (ПС)'!$G$24+$D178*'Коэффициенты (ПС)'!$G$25+$D177*'Коэффициенты (ПС)'!$G$26+$D176*'Коэффициенты (ПС)'!$G$27+$D175*'Коэффициенты (ПС)'!$G$28+$D174*'Коэффициенты (ПС)'!$G$29+$D173*'Коэффициенты (ПС)'!$G$30+$D172*'Коэффициенты (ПС)'!$G$31+$D171*'Коэффициенты (ПС)'!$G$32+$D170*'Коэффициенты (ПС)'!$G$33+$D169*'Коэффициенты (ПС)'!$G$34+$D168*'Коэффициенты (ПС)'!$G$35+$D167*'Коэффициенты (ПС)'!$G$36+$D166*'Коэффициенты (ПС)'!$G$37+$D165*'Коэффициенты (ПС)'!$G$38+$D164*'Коэффициенты (ПС)'!$G$39+$D163*'Коэффициенты (ПС)'!$G$40+$D162*'Коэффициенты (ПС)'!$G$41+$D161*'Коэффициенты (ПС)'!$G$42+$D160*'Коэффициенты (ПС)'!$G$43+$D159*'Коэффициенты (ПС)'!$G$44+$D158*'Коэффициенты (ПС)'!$G$45+$D157*'Коэффициенты (ПС)'!$G$46+$D156*'Коэффициенты (ПС)'!$G$47+$D155*'Коэффициенты (ПС)'!$G$48+$D154*'Коэффициенты (ПС)'!$G$49+$D153*'Коэффициенты (ПС)'!$G$50+$D152*'Коэффициенты (ПС)'!$G$51+$D151*'Коэффициенты (ПС)'!$G$52+$D150*'Коэффициенты (ПС)'!$G$53+$D149*'Коэффициенты (ПС)'!$G$54+$D148*'Коэффициенты (ПС)'!$G$55+$D147*'Коэффициенты (ПС)'!$G$56+$D146*'Коэффициенты (ПС)'!$G$57+$D145*'Коэффициенты (ПС)'!$G$58+$D144*'Коэффициенты (ПС)'!$G$59+$D143*'Коэффициенты (ПС)'!$G$60+$D142*'Коэффициенты (ПС)'!$G$61+$D141*'Коэффициенты (ПС)'!$G$62+$D140*'Коэффициенты (ПС)'!$G$63+$D139*'Коэффициенты (ПС)'!$G$64+$D138*'Коэффициенты (ПС)'!$G$65+$D137*'Коэффициенты (ПС)'!$G$66+$D136*'Коэффициенты (ПС)'!$G$67</f>
        <v>1605.9528595141983</v>
      </c>
      <c r="F196" s="37">
        <f>$D195*'Коэффициенты (БЛ)'!$G$7+Расчет!$D194*'Коэффициенты (БЛ)'!$G$8+$D193*'Коэффициенты (БЛ)'!$G$9+$D192*'Коэффициенты (БЛ)'!$G$10+$D191*'Коэффициенты (БЛ)'!$G$11+$D190*'Коэффициенты (БЛ)'!$G$12+$D189*'Коэффициенты (БЛ)'!$G$13+$D188*'Коэффициенты (БЛ)'!$G$14+$D187*'Коэффициенты (БЛ)'!$G$15+$D186*'Коэффициенты (БЛ)'!$G$16+$D185*'Коэффициенты (БЛ)'!$G$17+$D184*'Коэффициенты (БЛ)'!$G$18+$D183*'Коэффициенты (БЛ)'!$G$19+$D182*'Коэффициенты (БЛ)'!$G$20+$D181*'Коэффициенты (БЛ)'!$G$21+$D180*'Коэффициенты (БЛ)'!$G$22+$D179*'Коэффициенты (БЛ)'!$G$23+$D178*'Коэффициенты (БЛ)'!$G$24+$D177*'Коэффициенты (БЛ)'!$G$25+$D176*'Коэффициенты (БЛ)'!$G$26+$D175*'Коэффициенты (БЛ)'!$G$27+$D174*'Коэффициенты (БЛ)'!$G$28+$D173*'Коэффициенты (БЛ)'!$G$29+$D172*'Коэффициенты (БЛ)'!$G$30+$D171*'Коэффициенты (БЛ)'!$G$31+$D170*'Коэффициенты (БЛ)'!$G$32+$D169*'Коэффициенты (БЛ)'!$G$33+$D168*'Коэффициенты (БЛ)'!$G$34+$D167*'Коэффициенты (БЛ)'!$G$35+$D166*'Коэффициенты (БЛ)'!$G$36+$D165*'Коэффициенты (БЛ)'!$G$37+$D164*'Коэффициенты (БЛ)'!$G$38+$D163*'Коэффициенты (БЛ)'!$G$39+$D162*'Коэффициенты (БЛ)'!$G$40+$D161*'Коэффициенты (БЛ)'!$G$41+$D160*'Коэффициенты (БЛ)'!$G$42+$D159*'Коэффициенты (БЛ)'!$G$43+$D158*'Коэффициенты (БЛ)'!$G$44+$D157*'Коэффициенты (БЛ)'!$G$45+$D156*'Коэффициенты (БЛ)'!$G$46+$D155*'Коэффициенты (БЛ)'!$G$47+$D154*'Коэффициенты (БЛ)'!$G$48+$D153*'Коэффициенты (БЛ)'!$G$49+$D152*'Коэффициенты (БЛ)'!$G$50+$D151*'Коэффициенты (БЛ)'!$G$51+$D150*'Коэффициенты (БЛ)'!$G$52+$D149*'Коэффициенты (БЛ)'!$G$53+$D148*'Коэффициенты (БЛ)'!$G$54+$D147*'Коэффициенты (БЛ)'!$G$55+$D146*'Коэффициенты (БЛ)'!$G$56+$D145*'Коэффициенты (БЛ)'!$G$57+$D144*'Коэффициенты (БЛ)'!$G$58+$D143*'Коэффициенты (БЛ)'!$G$59+$D142*'Коэффициенты (БЛ)'!$G$60+$D141*'Коэффициенты (БЛ)'!$G$61+$D140*'Коэффициенты (БЛ)'!$G$62+$D139*'Коэффициенты (БЛ)'!$G$63+$D138*'Коэффициенты (БЛ)'!$G$64+$D137*'Коэффициенты (БЛ)'!$G$65+$D136*'Коэффициенты (БЛ)'!$G$66</f>
        <v>42.029707261094593</v>
      </c>
      <c r="G196" s="43">
        <v>1</v>
      </c>
      <c r="H196" s="43">
        <f t="shared" si="12"/>
        <v>1605.9528595141983</v>
      </c>
      <c r="I196" s="43">
        <f t="shared" si="13"/>
        <v>42.029707261094593</v>
      </c>
    </row>
    <row r="197" spans="2:9" ht="18" customHeight="1" x14ac:dyDescent="0.35">
      <c r="B197" s="49"/>
      <c r="C197" s="36">
        <v>10</v>
      </c>
      <c r="D197" s="37">
        <f>'Обработка руды'!E171</f>
        <v>0</v>
      </c>
      <c r="E197" s="37">
        <f>$D196*'Коэффициенты (ПС)'!$G$8+Расчет!$D195*'Коэффициенты (ПС)'!$G$9+$D194*'Коэффициенты (ПС)'!$G$10+$D193*'Коэффициенты (ПС)'!$G$11+$D192*'Коэффициенты (ПС)'!$G$12+$D191*'Коэффициенты (ПС)'!$G$13+$D190*'Коэффициенты (ПС)'!$G$14+$D189*'Коэффициенты (ПС)'!$G$15+$D188*'Коэффициенты (ПС)'!$G$16+$D187*'Коэффициенты (ПС)'!$G$17+$D186*'Коэффициенты (ПС)'!$G$18+$D185*'Коэффициенты (ПС)'!$G$19+$D184*'Коэффициенты (ПС)'!$G$20+$D183*'Коэффициенты (ПС)'!$G$21+$D182*'Коэффициенты (ПС)'!$G$22+$D181*'Коэффициенты (ПС)'!$G$23+$D180*'Коэффициенты (ПС)'!$G$24+$D179*'Коэффициенты (ПС)'!$G$25+$D178*'Коэффициенты (ПС)'!$G$26+$D177*'Коэффициенты (ПС)'!$G$27+$D176*'Коэффициенты (ПС)'!$G$28+$D175*'Коэффициенты (ПС)'!$G$29+$D174*'Коэффициенты (ПС)'!$G$30+$D173*'Коэффициенты (ПС)'!$G$31+$D172*'Коэффициенты (ПС)'!$G$32+$D171*'Коэффициенты (ПС)'!$G$33+$D170*'Коэффициенты (ПС)'!$G$34+$D169*'Коэффициенты (ПС)'!$G$35+$D168*'Коэффициенты (ПС)'!$G$36+$D167*'Коэффициенты (ПС)'!$G$37+$D166*'Коэффициенты (ПС)'!$G$38+$D165*'Коэффициенты (ПС)'!$G$39+$D164*'Коэффициенты (ПС)'!$G$40+$D163*'Коэффициенты (ПС)'!$G$41+$D162*'Коэффициенты (ПС)'!$G$42+$D161*'Коэффициенты (ПС)'!$G$43+$D160*'Коэффициенты (ПС)'!$G$44+$D159*'Коэффициенты (ПС)'!$G$45+$D158*'Коэффициенты (ПС)'!$G$46+$D157*'Коэффициенты (ПС)'!$G$47+$D156*'Коэффициенты (ПС)'!$G$48+$D155*'Коэффициенты (ПС)'!$G$49+$D154*'Коэффициенты (ПС)'!$G$50+$D153*'Коэффициенты (ПС)'!$G$51+$D152*'Коэффициенты (ПС)'!$G$52+$D151*'Коэффициенты (ПС)'!$G$53+$D150*'Коэффициенты (ПС)'!$G$54+$D149*'Коэффициенты (ПС)'!$G$55+$D148*'Коэффициенты (ПС)'!$G$56+$D147*'Коэффициенты (ПС)'!$G$57+$D146*'Коэффициенты (ПС)'!$G$58+$D145*'Коэффициенты (ПС)'!$G$59+$D144*'Коэффициенты (ПС)'!$G$60+$D143*'Коэффициенты (ПС)'!$G$61+$D142*'Коэффициенты (ПС)'!$G$62+$D141*'Коэффициенты (ПС)'!$G$63+$D140*'Коэффициенты (ПС)'!$G$64+$D139*'Коэффициенты (ПС)'!$G$65+$D138*'Коэффициенты (ПС)'!$G$66+$D137*'Коэффициенты (ПС)'!$G$67</f>
        <v>1574.4943286665746</v>
      </c>
      <c r="F197" s="37">
        <f>$D196*'Коэффициенты (БЛ)'!$G$7+Расчет!$D195*'Коэффициенты (БЛ)'!$G$8+$D194*'Коэффициенты (БЛ)'!$G$9+$D193*'Коэффициенты (БЛ)'!$G$10+$D192*'Коэффициенты (БЛ)'!$G$11+$D191*'Коэффициенты (БЛ)'!$G$12+$D190*'Коэффициенты (БЛ)'!$G$13+$D189*'Коэффициенты (БЛ)'!$G$14+$D188*'Коэффициенты (БЛ)'!$G$15+$D187*'Коэффициенты (БЛ)'!$G$16+$D186*'Коэффициенты (БЛ)'!$G$17+$D185*'Коэффициенты (БЛ)'!$G$18+$D184*'Коэффициенты (БЛ)'!$G$19+$D183*'Коэффициенты (БЛ)'!$G$20+$D182*'Коэффициенты (БЛ)'!$G$21+$D181*'Коэффициенты (БЛ)'!$G$22+$D180*'Коэффициенты (БЛ)'!$G$23+$D179*'Коэффициенты (БЛ)'!$G$24+$D178*'Коэффициенты (БЛ)'!$G$25+$D177*'Коэффициенты (БЛ)'!$G$26+$D176*'Коэффициенты (БЛ)'!$G$27+$D175*'Коэффициенты (БЛ)'!$G$28+$D174*'Коэффициенты (БЛ)'!$G$29+$D173*'Коэффициенты (БЛ)'!$G$30+$D172*'Коэффициенты (БЛ)'!$G$31+$D171*'Коэффициенты (БЛ)'!$G$32+$D170*'Коэффициенты (БЛ)'!$G$33+$D169*'Коэффициенты (БЛ)'!$G$34+$D168*'Коэффициенты (БЛ)'!$G$35+$D167*'Коэффициенты (БЛ)'!$G$36+$D166*'Коэффициенты (БЛ)'!$G$37+$D165*'Коэффициенты (БЛ)'!$G$38+$D164*'Коэффициенты (БЛ)'!$G$39+$D163*'Коэффициенты (БЛ)'!$G$40+$D162*'Коэффициенты (БЛ)'!$G$41+$D161*'Коэффициенты (БЛ)'!$G$42+$D160*'Коэффициенты (БЛ)'!$G$43+$D159*'Коэффициенты (БЛ)'!$G$44+$D158*'Коэффициенты (БЛ)'!$G$45+$D157*'Коэффициенты (БЛ)'!$G$46+$D156*'Коэффициенты (БЛ)'!$G$47+$D155*'Коэффициенты (БЛ)'!$G$48+$D154*'Коэффициенты (БЛ)'!$G$49+$D153*'Коэффициенты (БЛ)'!$G$50+$D152*'Коэффициенты (БЛ)'!$G$51+$D151*'Коэффициенты (БЛ)'!$G$52+$D150*'Коэффициенты (БЛ)'!$G$53+$D149*'Коэффициенты (БЛ)'!$G$54+$D148*'Коэффициенты (БЛ)'!$G$55+$D147*'Коэффициенты (БЛ)'!$G$56+$D146*'Коэффициенты (БЛ)'!$G$57+$D145*'Коэффициенты (БЛ)'!$G$58+$D144*'Коэффициенты (БЛ)'!$G$59+$D143*'Коэффициенты (БЛ)'!$G$60+$D142*'Коэффициенты (БЛ)'!$G$61+$D141*'Коэффициенты (БЛ)'!$G$62+$D140*'Коэффициенты (БЛ)'!$G$63+$D139*'Коэффициенты (БЛ)'!$G$64+$D138*'Коэффициенты (БЛ)'!$G$65+$D137*'Коэффициенты (БЛ)'!$G$66</f>
        <v>41.206399880335084</v>
      </c>
      <c r="G197" s="43">
        <v>1</v>
      </c>
      <c r="H197" s="43">
        <f t="shared" si="12"/>
        <v>1574.4943286665746</v>
      </c>
      <c r="I197" s="43">
        <f t="shared" si="13"/>
        <v>41.206399880335084</v>
      </c>
    </row>
    <row r="198" spans="2:9" ht="18" customHeight="1" x14ac:dyDescent="0.35">
      <c r="B198" s="49"/>
      <c r="C198" s="36">
        <v>11</v>
      </c>
      <c r="D198" s="37">
        <f>'Обработка руды'!E172</f>
        <v>53773.67781753718</v>
      </c>
      <c r="E198" s="37">
        <f>$D197*'Коэффициенты (ПС)'!$G$8+Расчет!$D196*'Коэффициенты (ПС)'!$G$9+$D195*'Коэффициенты (ПС)'!$G$10+$D194*'Коэффициенты (ПС)'!$G$11+$D193*'Коэффициенты (ПС)'!$G$12+$D192*'Коэффициенты (ПС)'!$G$13+$D191*'Коэффициенты (ПС)'!$G$14+$D190*'Коэффициенты (ПС)'!$G$15+$D189*'Коэффициенты (ПС)'!$G$16+$D188*'Коэффициенты (ПС)'!$G$17+$D187*'Коэффициенты (ПС)'!$G$18+$D186*'Коэффициенты (ПС)'!$G$19+$D185*'Коэффициенты (ПС)'!$G$20+$D184*'Коэффициенты (ПС)'!$G$21+$D183*'Коэффициенты (ПС)'!$G$22+$D182*'Коэффициенты (ПС)'!$G$23+$D181*'Коэффициенты (ПС)'!$G$24+$D180*'Коэффициенты (ПС)'!$G$25+$D179*'Коэффициенты (ПС)'!$G$26+$D178*'Коэффициенты (ПС)'!$G$27+$D177*'Коэффициенты (ПС)'!$G$28+$D176*'Коэффициенты (ПС)'!$G$29+$D175*'Коэффициенты (ПС)'!$G$30+$D174*'Коэффициенты (ПС)'!$G$31+$D173*'Коэффициенты (ПС)'!$G$32+$D172*'Коэффициенты (ПС)'!$G$33+$D171*'Коэффициенты (ПС)'!$G$34+$D170*'Коэффициенты (ПС)'!$G$35+$D169*'Коэффициенты (ПС)'!$G$36+$D168*'Коэффициенты (ПС)'!$G$37+$D167*'Коэффициенты (ПС)'!$G$38+$D166*'Коэффициенты (ПС)'!$G$39+$D165*'Коэффициенты (ПС)'!$G$40+$D164*'Коэффициенты (ПС)'!$G$41+$D163*'Коэффициенты (ПС)'!$G$42+$D162*'Коэффициенты (ПС)'!$G$43+$D161*'Коэффициенты (ПС)'!$G$44+$D160*'Коэффициенты (ПС)'!$G$45+$D159*'Коэффициенты (ПС)'!$G$46+$D158*'Коэффициенты (ПС)'!$G$47+$D157*'Коэффициенты (ПС)'!$G$48+$D156*'Коэффициенты (ПС)'!$G$49+$D155*'Коэффициенты (ПС)'!$G$50+$D154*'Коэффициенты (ПС)'!$G$51+$D153*'Коэффициенты (ПС)'!$G$52+$D152*'Коэффициенты (ПС)'!$G$53+$D151*'Коэффициенты (ПС)'!$G$54+$D150*'Коэффициенты (ПС)'!$G$55+$D149*'Коэффициенты (ПС)'!$G$56+$D148*'Коэффициенты (ПС)'!$G$57+$D147*'Коэффициенты (ПС)'!$G$58+$D146*'Коэффициенты (ПС)'!$G$59+$D145*'Коэффициенты (ПС)'!$G$60+$D144*'Коэффициенты (ПС)'!$G$61+$D143*'Коэффициенты (ПС)'!$G$62+$D142*'Коэффициенты (ПС)'!$G$63+$D141*'Коэффициенты (ПС)'!$G$64+$D140*'Коэффициенты (ПС)'!$G$65+$D139*'Коэффициенты (ПС)'!$G$66+$D138*'Коэффициенты (ПС)'!$G$67</f>
        <v>1509.6245530990968</v>
      </c>
      <c r="F198" s="37">
        <f>$D197*'Коэффициенты (БЛ)'!$G$7+Расчет!$D196*'Коэффициенты (БЛ)'!$G$8+$D195*'Коэффициенты (БЛ)'!$G$9+$D194*'Коэффициенты (БЛ)'!$G$10+$D193*'Коэффициенты (БЛ)'!$G$11+$D192*'Коэффициенты (БЛ)'!$G$12+$D191*'Коэффициенты (БЛ)'!$G$13+$D190*'Коэффициенты (БЛ)'!$G$14+$D189*'Коэффициенты (БЛ)'!$G$15+$D188*'Коэффициенты (БЛ)'!$G$16+$D187*'Коэффициенты (БЛ)'!$G$17+$D186*'Коэффициенты (БЛ)'!$G$18+$D185*'Коэффициенты (БЛ)'!$G$19+$D184*'Коэффициенты (БЛ)'!$G$20+$D183*'Коэффициенты (БЛ)'!$G$21+$D182*'Коэффициенты (БЛ)'!$G$22+$D181*'Коэффициенты (БЛ)'!$G$23+$D180*'Коэффициенты (БЛ)'!$G$24+$D179*'Коэффициенты (БЛ)'!$G$25+$D178*'Коэффициенты (БЛ)'!$G$26+$D177*'Коэффициенты (БЛ)'!$G$27+$D176*'Коэффициенты (БЛ)'!$G$28+$D175*'Коэффициенты (БЛ)'!$G$29+$D174*'Коэффициенты (БЛ)'!$G$30+$D173*'Коэффициенты (БЛ)'!$G$31+$D172*'Коэффициенты (БЛ)'!$G$32+$D171*'Коэффициенты (БЛ)'!$G$33+$D170*'Коэффициенты (БЛ)'!$G$34+$D169*'Коэффициенты (БЛ)'!$G$35+$D168*'Коэффициенты (БЛ)'!$G$36+$D167*'Коэффициенты (БЛ)'!$G$37+$D166*'Коэффициенты (БЛ)'!$G$38+$D165*'Коэффициенты (БЛ)'!$G$39+$D164*'Коэффициенты (БЛ)'!$G$40+$D163*'Коэффициенты (БЛ)'!$G$41+$D162*'Коэффициенты (БЛ)'!$G$42+$D161*'Коэффициенты (БЛ)'!$G$43+$D160*'Коэффициенты (БЛ)'!$G$44+$D159*'Коэффициенты (БЛ)'!$G$45+$D158*'Коэффициенты (БЛ)'!$G$46+$D157*'Коэффициенты (БЛ)'!$G$47+$D156*'Коэффициенты (БЛ)'!$G$48+$D155*'Коэффициенты (БЛ)'!$G$49+$D154*'Коэффициенты (БЛ)'!$G$50+$D153*'Коэффициенты (БЛ)'!$G$51+$D152*'Коэффициенты (БЛ)'!$G$52+$D151*'Коэффициенты (БЛ)'!$G$53+$D150*'Коэффициенты (БЛ)'!$G$54+$D149*'Коэффициенты (БЛ)'!$G$55+$D148*'Коэффициенты (БЛ)'!$G$56+$D147*'Коэффициенты (БЛ)'!$G$57+$D146*'Коэффициенты (БЛ)'!$G$58+$D145*'Коэффициенты (БЛ)'!$G$59+$D144*'Коэффициенты (БЛ)'!$G$60+$D143*'Коэффициенты (БЛ)'!$G$61+$D142*'Коэффициенты (БЛ)'!$G$62+$D141*'Коэффициенты (БЛ)'!$G$63+$D140*'Коэффициенты (БЛ)'!$G$64+$D139*'Коэффициенты (БЛ)'!$G$65+$D138*'Коэффициенты (БЛ)'!$G$66</f>
        <v>39.508680261081466</v>
      </c>
      <c r="G198" s="43">
        <v>1</v>
      </c>
      <c r="H198" s="43">
        <f t="shared" si="12"/>
        <v>1509.6245530990968</v>
      </c>
      <c r="I198" s="43">
        <f t="shared" si="13"/>
        <v>39.508680261081466</v>
      </c>
    </row>
    <row r="199" spans="2:9" ht="18" customHeight="1" x14ac:dyDescent="0.35">
      <c r="B199" s="49"/>
      <c r="C199" s="36">
        <v>12</v>
      </c>
      <c r="D199" s="37">
        <f>'Обработка руды'!E173</f>
        <v>108236.76176094022</v>
      </c>
      <c r="E199" s="37">
        <f>$D198*'Коэффициенты (ПС)'!$G$8+Расчет!$D197*'Коэффициенты (ПС)'!$G$9+$D196*'Коэффициенты (ПС)'!$G$10+$D195*'Коэффициенты (ПС)'!$G$11+$D194*'Коэффициенты (ПС)'!$G$12+$D193*'Коэффициенты (ПС)'!$G$13+$D192*'Коэффициенты (ПС)'!$G$14+$D191*'Коэффициенты (ПС)'!$G$15+$D190*'Коэффициенты (ПС)'!$G$16+$D189*'Коэффициенты (ПС)'!$G$17+$D188*'Коэффициенты (ПС)'!$G$18+$D187*'Коэффициенты (ПС)'!$G$19+$D186*'Коэффициенты (ПС)'!$G$20+$D185*'Коэффициенты (ПС)'!$G$21+$D184*'Коэффициенты (ПС)'!$G$22+$D183*'Коэффициенты (ПС)'!$G$23+$D182*'Коэффициенты (ПС)'!$G$24+$D181*'Коэффициенты (ПС)'!$G$25+$D180*'Коэффициенты (ПС)'!$G$26+$D179*'Коэффициенты (ПС)'!$G$27+$D178*'Коэффициенты (ПС)'!$G$28+$D177*'Коэффициенты (ПС)'!$G$29+$D176*'Коэффициенты (ПС)'!$G$30+$D175*'Коэффициенты (ПС)'!$G$31+$D174*'Коэффициенты (ПС)'!$G$32+$D173*'Коэффициенты (ПС)'!$G$33+$D172*'Коэффициенты (ПС)'!$G$34+$D171*'Коэффициенты (ПС)'!$G$35+$D170*'Коэффициенты (ПС)'!$G$36+$D169*'Коэффициенты (ПС)'!$G$37+$D168*'Коэффициенты (ПС)'!$G$38+$D167*'Коэффициенты (ПС)'!$G$39+$D166*'Коэффициенты (ПС)'!$G$40+$D165*'Коэффициенты (ПС)'!$G$41+$D164*'Коэффициенты (ПС)'!$G$42+$D163*'Коэффициенты (ПС)'!$G$43+$D162*'Коэффициенты (ПС)'!$G$44+$D161*'Коэффициенты (ПС)'!$G$45+$D160*'Коэффициенты (ПС)'!$G$46+$D159*'Коэффициенты (ПС)'!$G$47+$D158*'Коэффициенты (ПС)'!$G$48+$D157*'Коэффициенты (ПС)'!$G$49+$D156*'Коэффициенты (ПС)'!$G$50+$D155*'Коэффициенты (ПС)'!$G$51+$D154*'Коэффициенты (ПС)'!$G$52+$D153*'Коэффициенты (ПС)'!$G$53+$D152*'Коэффициенты (ПС)'!$G$54+$D151*'Коэффициенты (ПС)'!$G$55+$D150*'Коэффициенты (ПС)'!$G$56+$D149*'Коэффициенты (ПС)'!$G$57+$D148*'Коэффициенты (ПС)'!$G$58+$D147*'Коэффициенты (ПС)'!$G$59+$D146*'Коэффициенты (ПС)'!$G$60+$D145*'Коэффициенты (ПС)'!$G$61+$D144*'Коэффициенты (ПС)'!$G$62+$D143*'Коэффициенты (ПС)'!$G$63+$D142*'Коэффициенты (ПС)'!$G$64+$D141*'Коэффициенты (ПС)'!$G$65+$D140*'Коэффициенты (ПС)'!$G$66+$D139*'Коэффициенты (ПС)'!$G$67</f>
        <v>2053.5371328491728</v>
      </c>
      <c r="F199" s="37">
        <f>$D198*'Коэффициенты (БЛ)'!$G$7+Расчет!$D197*'Коэффициенты (БЛ)'!$G$8+$D196*'Коэффициенты (БЛ)'!$G$9+$D195*'Коэффициенты (БЛ)'!$G$10+$D194*'Коэффициенты (БЛ)'!$G$11+$D193*'Коэффициенты (БЛ)'!$G$12+$D192*'Коэффициенты (БЛ)'!$G$13+$D191*'Коэффициенты (БЛ)'!$G$14+$D190*'Коэффициенты (БЛ)'!$G$15+$D189*'Коэффициенты (БЛ)'!$G$16+$D188*'Коэффициенты (БЛ)'!$G$17+$D187*'Коэффициенты (БЛ)'!$G$18+$D186*'Коэффициенты (БЛ)'!$G$19+$D185*'Коэффициенты (БЛ)'!$G$20+$D184*'Коэффициенты (БЛ)'!$G$21+$D183*'Коэффициенты (БЛ)'!$G$22+$D182*'Коэффициенты (БЛ)'!$G$23+$D181*'Коэффициенты (БЛ)'!$G$24+$D180*'Коэффициенты (БЛ)'!$G$25+$D179*'Коэффициенты (БЛ)'!$G$26+$D178*'Коэффициенты (БЛ)'!$G$27+$D177*'Коэффициенты (БЛ)'!$G$28+$D176*'Коэффициенты (БЛ)'!$G$29+$D175*'Коэффициенты (БЛ)'!$G$30+$D174*'Коэффициенты (БЛ)'!$G$31+$D173*'Коэффициенты (БЛ)'!$G$32+$D172*'Коэффициенты (БЛ)'!$G$33+$D171*'Коэффициенты (БЛ)'!$G$34+$D170*'Коэффициенты (БЛ)'!$G$35+$D169*'Коэффициенты (БЛ)'!$G$36+$D168*'Коэффициенты (БЛ)'!$G$37+$D167*'Коэффициенты (БЛ)'!$G$38+$D166*'Коэффициенты (БЛ)'!$G$39+$D165*'Коэффициенты (БЛ)'!$G$40+$D164*'Коэффициенты (БЛ)'!$G$41+$D163*'Коэффициенты (БЛ)'!$G$42+$D162*'Коэффициенты (БЛ)'!$G$43+$D161*'Коэффициенты (БЛ)'!$G$44+$D160*'Коэффициенты (БЛ)'!$G$45+$D159*'Коэффициенты (БЛ)'!$G$46+$D158*'Коэффициенты (БЛ)'!$G$47+$D157*'Коэффициенты (БЛ)'!$G$48+$D156*'Коэффициенты (БЛ)'!$G$49+$D155*'Коэффициенты (БЛ)'!$G$50+$D154*'Коэффициенты (БЛ)'!$G$51+$D153*'Коэффициенты (БЛ)'!$G$52+$D152*'Коэффициенты (БЛ)'!$G$53+$D151*'Коэффициенты (БЛ)'!$G$54+$D150*'Коэффициенты (БЛ)'!$G$55+$D149*'Коэффициенты (БЛ)'!$G$56+$D148*'Коэффициенты (БЛ)'!$G$57+$D147*'Коэффициенты (БЛ)'!$G$58+$D146*'Коэффициенты (БЛ)'!$G$59+$D145*'Коэффициенты (БЛ)'!$G$60+$D144*'Коэффициенты (БЛ)'!$G$61+$D143*'Коэффициенты (БЛ)'!$G$62+$D142*'Коэффициенты (БЛ)'!$G$63+$D141*'Коэффициенты (БЛ)'!$G$64+$D140*'Коэффициенты (БЛ)'!$G$65+$D139*'Коэффициенты (БЛ)'!$G$66</f>
        <v>53.743523063028732</v>
      </c>
      <c r="G199" s="43">
        <v>1</v>
      </c>
      <c r="H199" s="43">
        <f t="shared" si="12"/>
        <v>2053.5371328491728</v>
      </c>
      <c r="I199" s="43">
        <f t="shared" si="13"/>
        <v>53.743523063028732</v>
      </c>
    </row>
    <row r="200" spans="2:9" ht="18" customHeight="1" x14ac:dyDescent="0.35">
      <c r="B200" s="49">
        <v>2040</v>
      </c>
      <c r="C200" s="36">
        <v>1</v>
      </c>
      <c r="D200" s="37">
        <f>'Обработка руды'!E174</f>
        <v>0</v>
      </c>
      <c r="E200" s="37">
        <f>$D199*'Коэффициенты (ПС)'!$G$8+Расчет!$D198*'Коэффициенты (ПС)'!$G$9+$D197*'Коэффициенты (ПС)'!$G$10+$D196*'Коэффициенты (ПС)'!$G$11+$D195*'Коэффициенты (ПС)'!$G$12+$D194*'Коэффициенты (ПС)'!$G$13+$D193*'Коэффициенты (ПС)'!$G$14+$D192*'Коэффициенты (ПС)'!$G$15+$D191*'Коэффициенты (ПС)'!$G$16+$D190*'Коэффициенты (ПС)'!$G$17+$D189*'Коэффициенты (ПС)'!$G$18+$D188*'Коэффициенты (ПС)'!$G$19+$D187*'Коэффициенты (ПС)'!$G$20+$D186*'Коэффициенты (ПС)'!$G$21+$D185*'Коэффициенты (ПС)'!$G$22+$D184*'Коэффициенты (ПС)'!$G$23+$D183*'Коэффициенты (ПС)'!$G$24+$D182*'Коэффициенты (ПС)'!$G$25+$D181*'Коэффициенты (ПС)'!$G$26+$D180*'Коэффициенты (ПС)'!$G$27+$D179*'Коэффициенты (ПС)'!$G$28+$D178*'Коэффициенты (ПС)'!$G$29+$D177*'Коэффициенты (ПС)'!$G$30+$D176*'Коэффициенты (ПС)'!$G$31+$D175*'Коэффициенты (ПС)'!$G$32+$D174*'Коэффициенты (ПС)'!$G$33+$D173*'Коэффициенты (ПС)'!$G$34+$D172*'Коэффициенты (ПС)'!$G$35+$D171*'Коэффициенты (ПС)'!$G$36+$D170*'Коэффициенты (ПС)'!$G$37+$D169*'Коэффициенты (ПС)'!$G$38+$D168*'Коэффициенты (ПС)'!$G$39+$D167*'Коэффициенты (ПС)'!$G$40+$D166*'Коэффициенты (ПС)'!$G$41+$D165*'Коэффициенты (ПС)'!$G$42+$D164*'Коэффициенты (ПС)'!$G$43+$D163*'Коэффициенты (ПС)'!$G$44+$D162*'Коэффициенты (ПС)'!$G$45+$D161*'Коэффициенты (ПС)'!$G$46+$D160*'Коэффициенты (ПС)'!$G$47+$D159*'Коэффициенты (ПС)'!$G$48+$D158*'Коэффициенты (ПС)'!$G$49+$D157*'Коэффициенты (ПС)'!$G$50+$D156*'Коэффициенты (ПС)'!$G$51+$D155*'Коэффициенты (ПС)'!$G$52+$D154*'Коэффициенты (ПС)'!$G$53+$D153*'Коэффициенты (ПС)'!$G$54+$D152*'Коэффициенты (ПС)'!$G$55+$D151*'Коэффициенты (ПС)'!$G$56+$D150*'Коэффициенты (ПС)'!$G$57+$D149*'Коэффициенты (ПС)'!$G$58+$D148*'Коэффициенты (ПС)'!$G$59+$D147*'Коэффициенты (ПС)'!$G$60+$D146*'Коэффициенты (ПС)'!$G$61+$D145*'Коэффициенты (ПС)'!$G$62+$D144*'Коэффициенты (ПС)'!$G$63+$D143*'Коэффициенты (ПС)'!$G$64+$D142*'Коэффициенты (ПС)'!$G$65+$D141*'Коэффициенты (ПС)'!$G$66+$D140*'Коэффициенты (ПС)'!$G$67</f>
        <v>2701.19437157318</v>
      </c>
      <c r="F200" s="37">
        <f>$D199*'Коэффициенты (БЛ)'!$G$7+Расчет!$D198*'Коэффициенты (БЛ)'!$G$8+$D197*'Коэффициенты (БЛ)'!$G$9+$D196*'Коэффициенты (БЛ)'!$G$10+$D195*'Коэффициенты (БЛ)'!$G$11+$D194*'Коэффициенты (БЛ)'!$G$12+$D193*'Коэффициенты (БЛ)'!$G$13+$D192*'Коэффициенты (БЛ)'!$G$14+$D191*'Коэффициенты (БЛ)'!$G$15+$D190*'Коэффициенты (БЛ)'!$G$16+$D189*'Коэффициенты (БЛ)'!$G$17+$D188*'Коэффициенты (БЛ)'!$G$18+$D187*'Коэффициенты (БЛ)'!$G$19+$D186*'Коэффициенты (БЛ)'!$G$20+$D185*'Коэффициенты (БЛ)'!$G$21+$D184*'Коэффициенты (БЛ)'!$G$22+$D183*'Коэффициенты (БЛ)'!$G$23+$D182*'Коэффициенты (БЛ)'!$G$24+$D181*'Коэффициенты (БЛ)'!$G$25+$D180*'Коэффициенты (БЛ)'!$G$26+$D179*'Коэффициенты (БЛ)'!$G$27+$D178*'Коэффициенты (БЛ)'!$G$28+$D177*'Коэффициенты (БЛ)'!$G$29+$D176*'Коэффициенты (БЛ)'!$G$30+$D175*'Коэффициенты (БЛ)'!$G$31+$D174*'Коэффициенты (БЛ)'!$G$32+$D173*'Коэффициенты (БЛ)'!$G$33+$D172*'Коэффициенты (БЛ)'!$G$34+$D171*'Коэффициенты (БЛ)'!$G$35+$D170*'Коэффициенты (БЛ)'!$G$36+$D169*'Коэффициенты (БЛ)'!$G$37+$D168*'Коэффициенты (БЛ)'!$G$38+$D167*'Коэффициенты (БЛ)'!$G$39+$D166*'Коэффициенты (БЛ)'!$G$40+$D165*'Коэффициенты (БЛ)'!$G$41+$D164*'Коэффициенты (БЛ)'!$G$42+$D163*'Коэффициенты (БЛ)'!$G$43+$D162*'Коэффициенты (БЛ)'!$G$44+$D161*'Коэффициенты (БЛ)'!$G$45+$D160*'Коэффициенты (БЛ)'!$G$46+$D159*'Коэффициенты (БЛ)'!$G$47+$D158*'Коэффициенты (БЛ)'!$G$48+$D157*'Коэффициенты (БЛ)'!$G$49+$D156*'Коэффициенты (БЛ)'!$G$50+$D155*'Коэффициенты (БЛ)'!$G$51+$D154*'Коэффициенты (БЛ)'!$G$52+$D153*'Коэффициенты (БЛ)'!$G$53+$D152*'Коэффициенты (БЛ)'!$G$54+$D151*'Коэффициенты (БЛ)'!$G$55+$D150*'Коэффициенты (БЛ)'!$G$56+$D149*'Коэффициенты (БЛ)'!$G$57+$D148*'Коэффициенты (БЛ)'!$G$58+$D147*'Коэффициенты (БЛ)'!$G$59+$D146*'Коэффициенты (БЛ)'!$G$60+$D145*'Коэффициенты (БЛ)'!$G$61+$D144*'Коэффициенты (БЛ)'!$G$62+$D143*'Коэффициенты (БЛ)'!$G$63+$D142*'Коэффициенты (БЛ)'!$G$64+$D141*'Коэффициенты (БЛ)'!$G$65+$D140*'Коэффициенты (БЛ)'!$G$66</f>
        <v>70.69348768237208</v>
      </c>
      <c r="G200" s="43">
        <v>1</v>
      </c>
      <c r="H200" s="43">
        <f t="shared" si="12"/>
        <v>2701.19437157318</v>
      </c>
      <c r="I200" s="43">
        <f t="shared" si="13"/>
        <v>70.69348768237208</v>
      </c>
    </row>
    <row r="201" spans="2:9" ht="18" customHeight="1" x14ac:dyDescent="0.35">
      <c r="B201" s="49"/>
      <c r="C201" s="36">
        <v>2</v>
      </c>
      <c r="D201" s="37">
        <f>'Обработка руды'!E175</f>
        <v>25137.388792226124</v>
      </c>
      <c r="E201" s="37">
        <f>$D200*'Коэффициенты (ПС)'!$G$8+Расчет!$D199*'Коэффициенты (ПС)'!$G$9+$D198*'Коэффициенты (ПС)'!$G$10+$D197*'Коэффициенты (ПС)'!$G$11+$D196*'Коэффициенты (ПС)'!$G$12+$D195*'Коэффициенты (ПС)'!$G$13+$D194*'Коэффициенты (ПС)'!$G$14+$D193*'Коэффициенты (ПС)'!$G$15+$D192*'Коэффициенты (ПС)'!$G$16+$D191*'Коэффициенты (ПС)'!$G$17+$D190*'Коэффициенты (ПС)'!$G$18+$D189*'Коэффициенты (ПС)'!$G$19+$D188*'Коэффициенты (ПС)'!$G$20+$D187*'Коэффициенты (ПС)'!$G$21+$D186*'Коэффициенты (ПС)'!$G$22+$D185*'Коэффициенты (ПС)'!$G$23+$D184*'Коэффициенты (ПС)'!$G$24+$D183*'Коэффициенты (ПС)'!$G$25+$D182*'Коэффициенты (ПС)'!$G$26+$D181*'Коэффициенты (ПС)'!$G$27+$D180*'Коэффициенты (ПС)'!$G$28+$D179*'Коэффициенты (ПС)'!$G$29+$D178*'Коэффициенты (ПС)'!$G$30+$D177*'Коэффициенты (ПС)'!$G$31+$D176*'Коэффициенты (ПС)'!$G$32+$D175*'Коэффициенты (ПС)'!$G$33+$D174*'Коэффициенты (ПС)'!$G$34+$D173*'Коэффициенты (ПС)'!$G$35+$D172*'Коэффициенты (ПС)'!$G$36+$D171*'Коэффициенты (ПС)'!$G$37+$D170*'Коэффициенты (ПС)'!$G$38+$D169*'Коэффициенты (ПС)'!$G$39+$D168*'Коэффициенты (ПС)'!$G$40+$D167*'Коэффициенты (ПС)'!$G$41+$D166*'Коэффициенты (ПС)'!$G$42+$D165*'Коэффициенты (ПС)'!$G$43+$D164*'Коэффициенты (ПС)'!$G$44+$D163*'Коэффициенты (ПС)'!$G$45+$D162*'Коэффициенты (ПС)'!$G$46+$D161*'Коэффициенты (ПС)'!$G$47+$D160*'Коэффициенты (ПС)'!$G$48+$D159*'Коэффициенты (ПС)'!$G$49+$D158*'Коэффициенты (ПС)'!$G$50+$D157*'Коэффициенты (ПС)'!$G$51+$D156*'Коэффициенты (ПС)'!$G$52+$D155*'Коэффициенты (ПС)'!$G$53+$D154*'Коэффициенты (ПС)'!$G$54+$D153*'Коэффициенты (ПС)'!$G$55+$D152*'Коэффициенты (ПС)'!$G$56+$D151*'Коэффициенты (ПС)'!$G$57+$D150*'Коэффициенты (ПС)'!$G$58+$D149*'Коэффициенты (ПС)'!$G$59+$D148*'Коэффициенты (ПС)'!$G$60+$D147*'Коэффициенты (ПС)'!$G$61+$D146*'Коэффициенты (ПС)'!$G$62+$D145*'Коэффициенты (ПС)'!$G$63+$D144*'Коэффициенты (ПС)'!$G$64+$D143*'Коэффициенты (ПС)'!$G$65+$D142*'Коэффициенты (ПС)'!$G$66+$D141*'Коэффициенты (ПС)'!$G$67</f>
        <v>1871.0942475875545</v>
      </c>
      <c r="F201" s="37">
        <f>$D200*'Коэффициенты (БЛ)'!$G$7+Расчет!$D199*'Коэффициенты (БЛ)'!$G$8+$D198*'Коэффициенты (БЛ)'!$G$9+$D197*'Коэффициенты (БЛ)'!$G$10+$D196*'Коэффициенты (БЛ)'!$G$11+$D195*'Коэффициенты (БЛ)'!$G$12+$D194*'Коэффициенты (БЛ)'!$G$13+$D193*'Коэффициенты (БЛ)'!$G$14+$D192*'Коэффициенты (БЛ)'!$G$15+$D191*'Коэффициенты (БЛ)'!$G$16+$D190*'Коэффициенты (БЛ)'!$G$17+$D189*'Коэффициенты (БЛ)'!$G$18+$D188*'Коэффициенты (БЛ)'!$G$19+$D187*'Коэффициенты (БЛ)'!$G$20+$D186*'Коэффициенты (БЛ)'!$G$21+$D185*'Коэффициенты (БЛ)'!$G$22+$D184*'Коэффициенты (БЛ)'!$G$23+$D183*'Коэффициенты (БЛ)'!$G$24+$D182*'Коэффициенты (БЛ)'!$G$25+$D181*'Коэффициенты (БЛ)'!$G$26+$D180*'Коэффициенты (БЛ)'!$G$27+$D179*'Коэффициенты (БЛ)'!$G$28+$D178*'Коэффициенты (БЛ)'!$G$29+$D177*'Коэффициенты (БЛ)'!$G$30+$D176*'Коэффициенты (БЛ)'!$G$31+$D175*'Коэффициенты (БЛ)'!$G$32+$D174*'Коэффициенты (БЛ)'!$G$33+$D173*'Коэффициенты (БЛ)'!$G$34+$D172*'Коэффициенты (БЛ)'!$G$35+$D171*'Коэффициенты (БЛ)'!$G$36+$D170*'Коэффициенты (БЛ)'!$G$37+$D169*'Коэффициенты (БЛ)'!$G$38+$D168*'Коэффициенты (БЛ)'!$G$39+$D167*'Коэффициенты (БЛ)'!$G$40+$D166*'Коэффициенты (БЛ)'!$G$41+$D165*'Коэффициенты (БЛ)'!$G$42+$D164*'Коэффициенты (БЛ)'!$G$43+$D163*'Коэффициенты (БЛ)'!$G$44+$D162*'Коэффициенты (БЛ)'!$G$45+$D161*'Коэффициенты (БЛ)'!$G$46+$D160*'Коэффициенты (БЛ)'!$G$47+$D159*'Коэффициенты (БЛ)'!$G$48+$D158*'Коэффициенты (БЛ)'!$G$49+$D157*'Коэффициенты (БЛ)'!$G$50+$D156*'Коэффициенты (БЛ)'!$G$51+$D155*'Коэффициенты (БЛ)'!$G$52+$D154*'Коэффициенты (БЛ)'!$G$53+$D153*'Коэффициенты (БЛ)'!$G$54+$D152*'Коэффициенты (БЛ)'!$G$55+$D151*'Коэффициенты (БЛ)'!$G$56+$D150*'Коэффициенты (БЛ)'!$G$57+$D149*'Коэффициенты (БЛ)'!$G$58+$D148*'Коэффициенты (БЛ)'!$G$59+$D147*'Коэффициенты (БЛ)'!$G$60+$D146*'Коэффициенты (БЛ)'!$G$61+$D145*'Коэффициенты (БЛ)'!$G$62+$D144*'Коэффициенты (БЛ)'!$G$63+$D143*'Коэффициенты (БЛ)'!$G$64+$D142*'Коэффициенты (БЛ)'!$G$65+$D141*'Коэффициенты (БЛ)'!$G$66</f>
        <v>48.968774530413164</v>
      </c>
      <c r="G201" s="43">
        <v>1</v>
      </c>
      <c r="H201" s="43">
        <f t="shared" si="12"/>
        <v>1871.0942475875545</v>
      </c>
      <c r="I201" s="43">
        <f t="shared" si="13"/>
        <v>48.968774530413164</v>
      </c>
    </row>
    <row r="202" spans="2:9" ht="18" customHeight="1" x14ac:dyDescent="0.35">
      <c r="B202" s="49"/>
      <c r="C202" s="36">
        <v>3</v>
      </c>
      <c r="D202" s="37">
        <f>'Обработка руды'!E176</f>
        <v>0</v>
      </c>
      <c r="E202" s="37">
        <f>$D201*'Коэффициенты (ПС)'!$G$8+Расчет!$D200*'Коэффициенты (ПС)'!$G$9+$D199*'Коэффициенты (ПС)'!$G$10+$D198*'Коэффициенты (ПС)'!$G$11+$D197*'Коэффициенты (ПС)'!$G$12+$D196*'Коэффициенты (ПС)'!$G$13+$D195*'Коэффициенты (ПС)'!$G$14+$D194*'Коэффициенты (ПС)'!$G$15+$D193*'Коэффициенты (ПС)'!$G$16+$D192*'Коэффициенты (ПС)'!$G$17+$D191*'Коэффициенты (ПС)'!$G$18+$D190*'Коэффициенты (ПС)'!$G$19+$D189*'Коэффициенты (ПС)'!$G$20+$D188*'Коэффициенты (ПС)'!$G$21+$D187*'Коэффициенты (ПС)'!$G$22+$D186*'Коэффициенты (ПС)'!$G$23+$D185*'Коэффициенты (ПС)'!$G$24+$D184*'Коэффициенты (ПС)'!$G$25+$D183*'Коэффициенты (ПС)'!$G$26+$D182*'Коэффициенты (ПС)'!$G$27+$D181*'Коэффициенты (ПС)'!$G$28+$D180*'Коэффициенты (ПС)'!$G$29+$D179*'Коэффициенты (ПС)'!$G$30+$D178*'Коэффициенты (ПС)'!$G$31+$D177*'Коэффициенты (ПС)'!$G$32+$D176*'Коэффициенты (ПС)'!$G$33+$D175*'Коэффициенты (ПС)'!$G$34+$D174*'Коэффициенты (ПС)'!$G$35+$D173*'Коэффициенты (ПС)'!$G$36+$D172*'Коэффициенты (ПС)'!$G$37+$D171*'Коэффициенты (ПС)'!$G$38+$D170*'Коэффициенты (ПС)'!$G$39+$D169*'Коэффициенты (ПС)'!$G$40+$D168*'Коэффициенты (ПС)'!$G$41+$D167*'Коэффициенты (ПС)'!$G$42+$D166*'Коэффициенты (ПС)'!$G$43+$D165*'Коэффициенты (ПС)'!$G$44+$D164*'Коэффициенты (ПС)'!$G$45+$D163*'Коэффициенты (ПС)'!$G$46+$D162*'Коэффициенты (ПС)'!$G$47+$D161*'Коэффициенты (ПС)'!$G$48+$D160*'Коэффициенты (ПС)'!$G$49+$D159*'Коэффициенты (ПС)'!$G$50+$D158*'Коэффициенты (ПС)'!$G$51+$D157*'Коэффициенты (ПС)'!$G$52+$D156*'Коэффициенты (ПС)'!$G$53+$D155*'Коэффициенты (ПС)'!$G$54+$D154*'Коэффициенты (ПС)'!$G$55+$D153*'Коэффициенты (ПС)'!$G$56+$D152*'Коэффициенты (ПС)'!$G$57+$D151*'Коэффициенты (ПС)'!$G$58+$D150*'Коэффициенты (ПС)'!$G$59+$D149*'Коэффициенты (ПС)'!$G$60+$D148*'Коэффициенты (ПС)'!$G$61+$D147*'Коэффициенты (ПС)'!$G$62+$D146*'Коэффициенты (ПС)'!$G$63+$D145*'Коэффициенты (ПС)'!$G$64+$D144*'Коэффициенты (ПС)'!$G$65+$D143*'Коэффициенты (ПС)'!$G$66+$D142*'Коэффициенты (ПС)'!$G$67</f>
        <v>2024.7778986133274</v>
      </c>
      <c r="F202" s="37">
        <f>$D201*'Коэффициенты (БЛ)'!$G$7+Расчет!$D200*'Коэффициенты (БЛ)'!$G$8+$D199*'Коэффициенты (БЛ)'!$G$9+$D198*'Коэффициенты (БЛ)'!$G$10+$D197*'Коэффициенты (БЛ)'!$G$11+$D196*'Коэффициенты (БЛ)'!$G$12+$D195*'Коэффициенты (БЛ)'!$G$13+$D194*'Коэффициенты (БЛ)'!$G$14+$D193*'Коэффициенты (БЛ)'!$G$15+$D192*'Коэффициенты (БЛ)'!$G$16+$D191*'Коэффициенты (БЛ)'!$G$17+$D190*'Коэффициенты (БЛ)'!$G$18+$D189*'Коэффициенты (БЛ)'!$G$19+$D188*'Коэффициенты (БЛ)'!$G$20+$D187*'Коэффициенты (БЛ)'!$G$21+$D186*'Коэффициенты (БЛ)'!$G$22+$D185*'Коэффициенты (БЛ)'!$G$23+$D184*'Коэффициенты (БЛ)'!$G$24+$D183*'Коэффициенты (БЛ)'!$G$25+$D182*'Коэффициенты (БЛ)'!$G$26+$D181*'Коэффициенты (БЛ)'!$G$27+$D180*'Коэффициенты (БЛ)'!$G$28+$D179*'Коэффициенты (БЛ)'!$G$29+$D178*'Коэффициенты (БЛ)'!$G$30+$D177*'Коэффициенты (БЛ)'!$G$31+$D176*'Коэффициенты (БЛ)'!$G$32+$D175*'Коэффициенты (БЛ)'!$G$33+$D174*'Коэффициенты (БЛ)'!$G$34+$D173*'Коэффициенты (БЛ)'!$G$35+$D172*'Коэффициенты (БЛ)'!$G$36+$D171*'Коэффициенты (БЛ)'!$G$37+$D170*'Коэффициенты (БЛ)'!$G$38+$D169*'Коэффициенты (БЛ)'!$G$39+$D168*'Коэффициенты (БЛ)'!$G$40+$D167*'Коэффициенты (БЛ)'!$G$41+$D166*'Коэффициенты (БЛ)'!$G$42+$D165*'Коэффициенты (БЛ)'!$G$43+$D164*'Коэффициенты (БЛ)'!$G$44+$D163*'Коэффициенты (БЛ)'!$G$45+$D162*'Коэффициенты (БЛ)'!$G$46+$D161*'Коэффициенты (БЛ)'!$G$47+$D160*'Коэффициенты (БЛ)'!$G$48+$D159*'Коэффициенты (БЛ)'!$G$49+$D158*'Коэффициенты (БЛ)'!$G$50+$D157*'Коэффициенты (БЛ)'!$G$51+$D156*'Коэффициенты (БЛ)'!$G$52+$D155*'Коэффициенты (БЛ)'!$G$53+$D154*'Коэффициенты (БЛ)'!$G$54+$D153*'Коэффициенты (БЛ)'!$G$55+$D152*'Коэффициенты (БЛ)'!$G$56+$D151*'Коэффициенты (БЛ)'!$G$57+$D150*'Коэффициенты (БЛ)'!$G$58+$D149*'Коэффициенты (БЛ)'!$G$59+$D148*'Коэффициенты (БЛ)'!$G$60+$D147*'Коэффициенты (БЛ)'!$G$61+$D146*'Коэффициенты (БЛ)'!$G$62+$D145*'Коэффициенты (БЛ)'!$G$63+$D144*'Коэффициенты (БЛ)'!$G$64+$D143*'Коэффициенты (БЛ)'!$G$65+$D142*'Коэффициенты (БЛ)'!$G$66</f>
        <v>52.990859503307888</v>
      </c>
      <c r="G202" s="43">
        <v>1</v>
      </c>
      <c r="H202" s="43">
        <f t="shared" si="12"/>
        <v>2024.7778986133274</v>
      </c>
      <c r="I202" s="43">
        <f t="shared" si="13"/>
        <v>52.990859503307888</v>
      </c>
    </row>
    <row r="203" spans="2:9" ht="18" customHeight="1" x14ac:dyDescent="0.35">
      <c r="B203" s="49"/>
      <c r="C203" s="36">
        <v>4</v>
      </c>
      <c r="D203" s="37">
        <f>'Обработка руды'!E177</f>
        <v>0</v>
      </c>
      <c r="E203" s="37">
        <f>$D202*'Коэффициенты (ПС)'!$G$8+Расчет!$D201*'Коэффициенты (ПС)'!$G$9+$D200*'Коэффициенты (ПС)'!$G$10+$D199*'Коэффициенты (ПС)'!$G$11+$D198*'Коэффициенты (ПС)'!$G$12+$D197*'Коэффициенты (ПС)'!$G$13+$D196*'Коэффициенты (ПС)'!$G$14+$D195*'Коэффициенты (ПС)'!$G$15+$D194*'Коэффициенты (ПС)'!$G$16+$D193*'Коэффициенты (ПС)'!$G$17+$D192*'Коэффициенты (ПС)'!$G$18+$D191*'Коэффициенты (ПС)'!$G$19+$D190*'Коэффициенты (ПС)'!$G$20+$D189*'Коэффициенты (ПС)'!$G$21+$D188*'Коэффициенты (ПС)'!$G$22+$D187*'Коэффициенты (ПС)'!$G$23+$D186*'Коэффициенты (ПС)'!$G$24+$D185*'Коэффициенты (ПС)'!$G$25+$D184*'Коэффициенты (ПС)'!$G$26+$D183*'Коэффициенты (ПС)'!$G$27+$D182*'Коэффициенты (ПС)'!$G$28+$D181*'Коэффициенты (ПС)'!$G$29+$D180*'Коэффициенты (ПС)'!$G$30+$D179*'Коэффициенты (ПС)'!$G$31+$D178*'Коэффициенты (ПС)'!$G$32+$D177*'Коэффициенты (ПС)'!$G$33+$D176*'Коэффициенты (ПС)'!$G$34+$D175*'Коэффициенты (ПС)'!$G$35+$D174*'Коэффициенты (ПС)'!$G$36+$D173*'Коэффициенты (ПС)'!$G$37+$D172*'Коэффициенты (ПС)'!$G$38+$D171*'Коэффициенты (ПС)'!$G$39+$D170*'Коэффициенты (ПС)'!$G$40+$D169*'Коэффициенты (ПС)'!$G$41+$D168*'Коэффициенты (ПС)'!$G$42+$D167*'Коэффициенты (ПС)'!$G$43+$D166*'Коэффициенты (ПС)'!$G$44+$D165*'Коэффициенты (ПС)'!$G$45+$D164*'Коэффициенты (ПС)'!$G$46+$D163*'Коэффициенты (ПС)'!$G$47+$D162*'Коэффициенты (ПС)'!$G$48+$D161*'Коэффициенты (ПС)'!$G$49+$D160*'Коэффициенты (ПС)'!$G$50+$D159*'Коэффициенты (ПС)'!$G$51+$D158*'Коэффициенты (ПС)'!$G$52+$D157*'Коэффициенты (ПС)'!$G$53+$D156*'Коэффициенты (ПС)'!$G$54+$D155*'Коэффициенты (ПС)'!$G$55+$D154*'Коэффициенты (ПС)'!$G$56+$D153*'Коэффициенты (ПС)'!$G$57+$D152*'Коэффициенты (ПС)'!$G$58+$D151*'Коэффициенты (ПС)'!$G$59+$D150*'Коэффициенты (ПС)'!$G$60+$D149*'Коэффициенты (ПС)'!$G$61+$D148*'Коэффициенты (ПС)'!$G$62+$D147*'Коэффициенты (ПС)'!$G$63+$D146*'Коэффициенты (ПС)'!$G$64+$D145*'Коэффициенты (ПС)'!$G$65+$D144*'Коэффициенты (ПС)'!$G$66+$D143*'Коэффициенты (ПС)'!$G$67</f>
        <v>1704.2428840169871</v>
      </c>
      <c r="F203" s="37">
        <f>$D202*'Коэффициенты (БЛ)'!$G$7+Расчет!$D201*'Коэффициенты (БЛ)'!$G$8+$D200*'Коэффициенты (БЛ)'!$G$9+$D199*'Коэффициенты (БЛ)'!$G$10+$D198*'Коэффициенты (БЛ)'!$G$11+$D197*'Коэффициенты (БЛ)'!$G$12+$D196*'Коэффициенты (БЛ)'!$G$13+$D195*'Коэффициенты (БЛ)'!$G$14+$D194*'Коэффициенты (БЛ)'!$G$15+$D193*'Коэффициенты (БЛ)'!$G$16+$D192*'Коэффициенты (БЛ)'!$G$17+$D191*'Коэффициенты (БЛ)'!$G$18+$D190*'Коэффициенты (БЛ)'!$G$19+$D189*'Коэффициенты (БЛ)'!$G$20+$D188*'Коэффициенты (БЛ)'!$G$21+$D187*'Коэффициенты (БЛ)'!$G$22+$D186*'Коэффициенты (БЛ)'!$G$23+$D185*'Коэффициенты (БЛ)'!$G$24+$D184*'Коэффициенты (БЛ)'!$G$25+$D183*'Коэффициенты (БЛ)'!$G$26+$D182*'Коэффициенты (БЛ)'!$G$27+$D181*'Коэффициенты (БЛ)'!$G$28+$D180*'Коэффициенты (БЛ)'!$G$29+$D179*'Коэффициенты (БЛ)'!$G$30+$D178*'Коэффициенты (БЛ)'!$G$31+$D177*'Коэффициенты (БЛ)'!$G$32+$D176*'Коэффициенты (БЛ)'!$G$33+$D175*'Коэффициенты (БЛ)'!$G$34+$D174*'Коэффициенты (БЛ)'!$G$35+$D173*'Коэффициенты (БЛ)'!$G$36+$D172*'Коэффициенты (БЛ)'!$G$37+$D171*'Коэффициенты (БЛ)'!$G$38+$D170*'Коэффициенты (БЛ)'!$G$39+$D169*'Коэффициенты (БЛ)'!$G$40+$D168*'Коэффициенты (БЛ)'!$G$41+$D167*'Коэффициенты (БЛ)'!$G$42+$D166*'Коэффициенты (БЛ)'!$G$43+$D165*'Коэффициенты (БЛ)'!$G$44+$D164*'Коэффициенты (БЛ)'!$G$45+$D163*'Коэффициенты (БЛ)'!$G$46+$D162*'Коэффициенты (БЛ)'!$G$47+$D161*'Коэффициенты (БЛ)'!$G$48+$D160*'Коэффициенты (БЛ)'!$G$49+$D159*'Коэффициенты (БЛ)'!$G$50+$D158*'Коэффициенты (БЛ)'!$G$51+$D157*'Коэффициенты (БЛ)'!$G$52+$D156*'Коэффициенты (БЛ)'!$G$53+$D155*'Коэффициенты (БЛ)'!$G$54+$D154*'Коэффициенты (БЛ)'!$G$55+$D153*'Коэффициенты (БЛ)'!$G$56+$D152*'Коэффициенты (БЛ)'!$G$57+$D151*'Коэффициенты (БЛ)'!$G$58+$D150*'Коэффициенты (БЛ)'!$G$59+$D149*'Коэффициенты (БЛ)'!$G$60+$D148*'Коэффициенты (БЛ)'!$G$61+$D147*'Коэффициенты (БЛ)'!$G$62+$D146*'Коэффициенты (БЛ)'!$G$63+$D145*'Коэффициенты (БЛ)'!$G$64+$D144*'Коэффициенты (БЛ)'!$G$65+$D143*'Коэффициенты (БЛ)'!$G$66</f>
        <v>44.602074769931484</v>
      </c>
      <c r="G203" s="43">
        <v>1</v>
      </c>
      <c r="H203" s="43">
        <f t="shared" si="12"/>
        <v>1704.2428840169871</v>
      </c>
      <c r="I203" s="43">
        <f t="shared" si="13"/>
        <v>44.602074769931484</v>
      </c>
    </row>
    <row r="204" spans="2:9" ht="18" customHeight="1" x14ac:dyDescent="0.35">
      <c r="B204" s="49"/>
      <c r="C204" s="36">
        <v>5</v>
      </c>
      <c r="D204" s="37">
        <f>'Обработка руды'!E178</f>
        <v>0</v>
      </c>
      <c r="E204" s="37">
        <f>$D203*'Коэффициенты (ПС)'!$G$8+Расчет!$D202*'Коэффициенты (ПС)'!$G$9+$D201*'Коэффициенты (ПС)'!$G$10+$D200*'Коэффициенты (ПС)'!$G$11+$D199*'Коэффициенты (ПС)'!$G$12+$D198*'Коэффициенты (ПС)'!$G$13+$D197*'Коэффициенты (ПС)'!$G$14+$D196*'Коэффициенты (ПС)'!$G$15+$D195*'Коэффициенты (ПС)'!$G$16+$D194*'Коэффициенты (ПС)'!$G$17+$D193*'Коэффициенты (ПС)'!$G$18+$D192*'Коэффициенты (ПС)'!$G$19+$D191*'Коэффициенты (ПС)'!$G$20+$D190*'Коэффициенты (ПС)'!$G$21+$D189*'Коэффициенты (ПС)'!$G$22+$D188*'Коэффициенты (ПС)'!$G$23+$D187*'Коэффициенты (ПС)'!$G$24+$D186*'Коэффициенты (ПС)'!$G$25+$D185*'Коэффициенты (ПС)'!$G$26+$D184*'Коэффициенты (ПС)'!$G$27+$D183*'Коэффициенты (ПС)'!$G$28+$D182*'Коэффициенты (ПС)'!$G$29+$D181*'Коэффициенты (ПС)'!$G$30+$D180*'Коэффициенты (ПС)'!$G$31+$D179*'Коэффициенты (ПС)'!$G$32+$D178*'Коэффициенты (ПС)'!$G$33+$D177*'Коэффициенты (ПС)'!$G$34+$D176*'Коэффициенты (ПС)'!$G$35+$D175*'Коэффициенты (ПС)'!$G$36+$D174*'Коэффициенты (ПС)'!$G$37+$D173*'Коэффициенты (ПС)'!$G$38+$D172*'Коэффициенты (ПС)'!$G$39+$D171*'Коэффициенты (ПС)'!$G$40+$D170*'Коэффициенты (ПС)'!$G$41+$D169*'Коэффициенты (ПС)'!$G$42+$D168*'Коэффициенты (ПС)'!$G$43+$D167*'Коэффициенты (ПС)'!$G$44+$D166*'Коэффициенты (ПС)'!$G$45+$D165*'Коэффициенты (ПС)'!$G$46+$D164*'Коэффициенты (ПС)'!$G$47+$D163*'Коэффициенты (ПС)'!$G$48+$D162*'Коэффициенты (ПС)'!$G$49+$D161*'Коэффициенты (ПС)'!$G$50+$D160*'Коэффициенты (ПС)'!$G$51+$D159*'Коэффициенты (ПС)'!$G$52+$D158*'Коэффициенты (ПС)'!$G$53+$D157*'Коэффициенты (ПС)'!$G$54+$D156*'Коэффициенты (ПС)'!$G$55+$D155*'Коэффициенты (ПС)'!$G$56+$D154*'Коэффициенты (ПС)'!$G$57+$D153*'Коэффициенты (ПС)'!$G$58+$D152*'Коэффициенты (ПС)'!$G$59+$D151*'Коэффициенты (ПС)'!$G$60+$D150*'Коэффициенты (ПС)'!$G$61+$D149*'Коэффициенты (ПС)'!$G$62+$D148*'Коэффициенты (ПС)'!$G$63+$D147*'Коэффициенты (ПС)'!$G$64+$D146*'Коэффициенты (ПС)'!$G$65+$D145*'Коэффициенты (ПС)'!$G$66+$D144*'Коэффициенты (ПС)'!$G$67</f>
        <v>1654.6772152860065</v>
      </c>
      <c r="F204" s="37">
        <f>$D203*'Коэффициенты (БЛ)'!$G$7+Расчет!$D202*'Коэффициенты (БЛ)'!$G$8+$D201*'Коэффициенты (БЛ)'!$G$9+$D200*'Коэффициенты (БЛ)'!$G$10+$D199*'Коэффициенты (БЛ)'!$G$11+$D198*'Коэффициенты (БЛ)'!$G$12+$D197*'Коэффициенты (БЛ)'!$G$13+$D196*'Коэффициенты (БЛ)'!$G$14+$D195*'Коэффициенты (БЛ)'!$G$15+$D194*'Коэффициенты (БЛ)'!$G$16+$D193*'Коэффициенты (БЛ)'!$G$17+$D192*'Коэффициенты (БЛ)'!$G$18+$D191*'Коэффициенты (БЛ)'!$G$19+$D190*'Коэффициенты (БЛ)'!$G$20+$D189*'Коэффициенты (БЛ)'!$G$21+$D188*'Коэффициенты (БЛ)'!$G$22+$D187*'Коэффициенты (БЛ)'!$G$23+$D186*'Коэффициенты (БЛ)'!$G$24+$D185*'Коэффициенты (БЛ)'!$G$25+$D184*'Коэффициенты (БЛ)'!$G$26+$D183*'Коэффициенты (БЛ)'!$G$27+$D182*'Коэффициенты (БЛ)'!$G$28+$D181*'Коэффициенты (БЛ)'!$G$29+$D180*'Коэффициенты (БЛ)'!$G$30+$D179*'Коэффициенты (БЛ)'!$G$31+$D178*'Коэффициенты (БЛ)'!$G$32+$D177*'Коэффициенты (БЛ)'!$G$33+$D176*'Коэффициенты (БЛ)'!$G$34+$D175*'Коэффициенты (БЛ)'!$G$35+$D174*'Коэффициенты (БЛ)'!$G$36+$D173*'Коэффициенты (БЛ)'!$G$37+$D172*'Коэффициенты (БЛ)'!$G$38+$D171*'Коэффициенты (БЛ)'!$G$39+$D170*'Коэффициенты (БЛ)'!$G$40+$D169*'Коэффициенты (БЛ)'!$G$41+$D168*'Коэффициенты (БЛ)'!$G$42+$D167*'Коэффициенты (БЛ)'!$G$43+$D166*'Коэффициенты (БЛ)'!$G$44+$D165*'Коэффициенты (БЛ)'!$G$45+$D164*'Коэффициенты (БЛ)'!$G$46+$D163*'Коэффициенты (БЛ)'!$G$47+$D162*'Коэффициенты (БЛ)'!$G$48+$D161*'Коэффициенты (БЛ)'!$G$49+$D160*'Коэффициенты (БЛ)'!$G$50+$D159*'Коэффициенты (БЛ)'!$G$51+$D158*'Коэффициенты (БЛ)'!$G$52+$D157*'Коэффициенты (БЛ)'!$G$53+$D156*'Коэффициенты (БЛ)'!$G$54+$D155*'Коэффициенты (БЛ)'!$G$55+$D154*'Коэффициенты (БЛ)'!$G$56+$D153*'Коэффициенты (БЛ)'!$G$57+$D152*'Коэффициенты (БЛ)'!$G$58+$D151*'Коэффициенты (БЛ)'!$G$59+$D150*'Коэффициенты (БЛ)'!$G$60+$D149*'Коэффициенты (БЛ)'!$G$61+$D148*'Коэффициенты (БЛ)'!$G$62+$D147*'Коэффициенты (БЛ)'!$G$63+$D146*'Коэффициенты (БЛ)'!$G$64+$D145*'Коэффициенты (БЛ)'!$G$65+$D144*'Коэффициенты (БЛ)'!$G$66</f>
        <v>43.304881932282612</v>
      </c>
      <c r="G204" s="43">
        <v>1</v>
      </c>
      <c r="H204" s="43">
        <f t="shared" si="12"/>
        <v>1654.6772152860065</v>
      </c>
      <c r="I204" s="43">
        <f t="shared" si="13"/>
        <v>43.304881932282612</v>
      </c>
    </row>
    <row r="205" spans="2:9" ht="18" customHeight="1" x14ac:dyDescent="0.35">
      <c r="B205" s="49"/>
      <c r="C205" s="36">
        <v>6</v>
      </c>
      <c r="D205" s="37">
        <f>'Обработка руды'!E179</f>
        <v>0</v>
      </c>
      <c r="E205" s="37">
        <f>$D204*'Коэффициенты (ПС)'!$G$8+Расчет!$D203*'Коэффициенты (ПС)'!$G$9+$D202*'Коэффициенты (ПС)'!$G$10+$D201*'Коэффициенты (ПС)'!$G$11+$D200*'Коэффициенты (ПС)'!$G$12+$D199*'Коэффициенты (ПС)'!$G$13+$D198*'Коэффициенты (ПС)'!$G$14+$D197*'Коэффициенты (ПС)'!$G$15+$D196*'Коэффициенты (ПС)'!$G$16+$D195*'Коэффициенты (ПС)'!$G$17+$D194*'Коэффициенты (ПС)'!$G$18+$D193*'Коэффициенты (ПС)'!$G$19+$D192*'Коэффициенты (ПС)'!$G$20+$D191*'Коэффициенты (ПС)'!$G$21+$D190*'Коэффициенты (ПС)'!$G$22+$D189*'Коэффициенты (ПС)'!$G$23+$D188*'Коэффициенты (ПС)'!$G$24+$D187*'Коэффициенты (ПС)'!$G$25+$D186*'Коэффициенты (ПС)'!$G$26+$D185*'Коэффициенты (ПС)'!$G$27+$D184*'Коэффициенты (ПС)'!$G$28+$D183*'Коэффициенты (ПС)'!$G$29+$D182*'Коэффициенты (ПС)'!$G$30+$D181*'Коэффициенты (ПС)'!$G$31+$D180*'Коэффициенты (ПС)'!$G$32+$D179*'Коэффициенты (ПС)'!$G$33+$D178*'Коэффициенты (ПС)'!$G$34+$D177*'Коэффициенты (ПС)'!$G$35+$D176*'Коэффициенты (ПС)'!$G$36+$D175*'Коэффициенты (ПС)'!$G$37+$D174*'Коэффициенты (ПС)'!$G$38+$D173*'Коэффициенты (ПС)'!$G$39+$D172*'Коэффициенты (ПС)'!$G$40+$D171*'Коэффициенты (ПС)'!$G$41+$D170*'Коэффициенты (ПС)'!$G$42+$D169*'Коэффициенты (ПС)'!$G$43+$D168*'Коэффициенты (ПС)'!$G$44+$D167*'Коэффициенты (ПС)'!$G$45+$D166*'Коэффициенты (ПС)'!$G$46+$D165*'Коэффициенты (ПС)'!$G$47+$D164*'Коэффициенты (ПС)'!$G$48+$D163*'Коэффициенты (ПС)'!$G$49+$D162*'Коэффициенты (ПС)'!$G$50+$D161*'Коэффициенты (ПС)'!$G$51+$D160*'Коэффициенты (ПС)'!$G$52+$D159*'Коэффициенты (ПС)'!$G$53+$D158*'Коэффициенты (ПС)'!$G$54+$D157*'Коэффициенты (ПС)'!$G$55+$D156*'Коэффициенты (ПС)'!$G$56+$D155*'Коэффициенты (ПС)'!$G$57+$D154*'Коэффициенты (ПС)'!$G$58+$D153*'Коэффициенты (ПС)'!$G$59+$D152*'Коэффициенты (ПС)'!$G$60+$D151*'Коэффициенты (ПС)'!$G$61+$D150*'Коэффициенты (ПС)'!$G$62+$D149*'Коэффициенты (ПС)'!$G$63+$D148*'Коэффициенты (ПС)'!$G$64+$D147*'Коэффициенты (ПС)'!$G$65+$D146*'Коэффициенты (ПС)'!$G$66+$D145*'Коэффициенты (ПС)'!$G$67</f>
        <v>1556.009486862625</v>
      </c>
      <c r="F205" s="37">
        <f>$D204*'Коэффициенты (БЛ)'!$G$7+Расчет!$D203*'Коэффициенты (БЛ)'!$G$8+$D202*'Коэффициенты (БЛ)'!$G$9+$D201*'Коэффициенты (БЛ)'!$G$10+$D200*'Коэффициенты (БЛ)'!$G$11+$D199*'Коэффициенты (БЛ)'!$G$12+$D198*'Коэффициенты (БЛ)'!$G$13+$D197*'Коэффициенты (БЛ)'!$G$14+$D196*'Коэффициенты (БЛ)'!$G$15+$D195*'Коэффициенты (БЛ)'!$G$16+$D194*'Коэффициенты (БЛ)'!$G$17+$D193*'Коэффициенты (БЛ)'!$G$18+$D192*'Коэффициенты (БЛ)'!$G$19+$D191*'Коэффициенты (БЛ)'!$G$20+$D190*'Коэффициенты (БЛ)'!$G$21+$D189*'Коэффициенты (БЛ)'!$G$22+$D188*'Коэффициенты (БЛ)'!$G$23+$D187*'Коэффициенты (БЛ)'!$G$24+$D186*'Коэффициенты (БЛ)'!$G$25+$D185*'Коэффициенты (БЛ)'!$G$26+$D184*'Коэффициенты (БЛ)'!$G$27+$D183*'Коэффициенты (БЛ)'!$G$28+$D182*'Коэффициенты (БЛ)'!$G$29+$D181*'Коэффициенты (БЛ)'!$G$30+$D180*'Коэффициенты (БЛ)'!$G$31+$D179*'Коэффициенты (БЛ)'!$G$32+$D178*'Коэффициенты (БЛ)'!$G$33+$D177*'Коэффициенты (БЛ)'!$G$34+$D176*'Коэффициенты (БЛ)'!$G$35+$D175*'Коэффициенты (БЛ)'!$G$36+$D174*'Коэффициенты (БЛ)'!$G$37+$D173*'Коэффициенты (БЛ)'!$G$38+$D172*'Коэффициенты (БЛ)'!$G$39+$D171*'Коэффициенты (БЛ)'!$G$40+$D170*'Коэффициенты (БЛ)'!$G$41+$D169*'Коэффициенты (БЛ)'!$G$42+$D168*'Коэффициенты (БЛ)'!$G$43+$D167*'Коэффициенты (БЛ)'!$G$44+$D166*'Коэффициенты (БЛ)'!$G$45+$D165*'Коэффициенты (БЛ)'!$G$46+$D164*'Коэффициенты (БЛ)'!$G$47+$D163*'Коэффициенты (БЛ)'!$G$48+$D162*'Коэффициенты (БЛ)'!$G$49+$D161*'Коэффициенты (БЛ)'!$G$50+$D160*'Коэффициенты (БЛ)'!$G$51+$D159*'Коэффициенты (БЛ)'!$G$52+$D158*'Коэффициенты (БЛ)'!$G$53+$D157*'Коэффициенты (БЛ)'!$G$54+$D156*'Коэффициенты (БЛ)'!$G$55+$D155*'Коэффициенты (БЛ)'!$G$56+$D154*'Коэффициенты (БЛ)'!$G$57+$D153*'Коэффициенты (БЛ)'!$G$58+$D152*'Коэффициенты (БЛ)'!$G$59+$D151*'Коэффициенты (БЛ)'!$G$60+$D150*'Коэффициенты (БЛ)'!$G$61+$D149*'Коэффициенты (БЛ)'!$G$62+$D148*'Коэффициенты (БЛ)'!$G$63+$D147*'Коэффициенты (БЛ)'!$G$64+$D146*'Коэффициенты (БЛ)'!$G$65+$D145*'Коэффициенты (БЛ)'!$G$66</f>
        <v>40.722629460061128</v>
      </c>
      <c r="G205" s="43">
        <v>1</v>
      </c>
      <c r="H205" s="43">
        <f t="shared" si="12"/>
        <v>1556.009486862625</v>
      </c>
      <c r="I205" s="43">
        <f t="shared" si="13"/>
        <v>40.722629460061128</v>
      </c>
    </row>
    <row r="206" spans="2:9" ht="18" customHeight="1" x14ac:dyDescent="0.35">
      <c r="B206" s="49"/>
      <c r="C206" s="36">
        <v>7</v>
      </c>
      <c r="D206" s="37">
        <f>'Обработка руды'!E180</f>
        <v>0</v>
      </c>
      <c r="E206" s="37">
        <f>$D205*'Коэффициенты (ПС)'!$G$8+Расчет!$D204*'Коэффициенты (ПС)'!$G$9+$D203*'Коэффициенты (ПС)'!$G$10+$D202*'Коэффициенты (ПС)'!$G$11+$D201*'Коэффициенты (ПС)'!$G$12+$D200*'Коэффициенты (ПС)'!$G$13+$D199*'Коэффициенты (ПС)'!$G$14+$D198*'Коэффициенты (ПС)'!$G$15+$D197*'Коэффициенты (ПС)'!$G$16+$D196*'Коэффициенты (ПС)'!$G$17+$D195*'Коэффициенты (ПС)'!$G$18+$D194*'Коэффициенты (ПС)'!$G$19+$D193*'Коэффициенты (ПС)'!$G$20+$D192*'Коэффициенты (ПС)'!$G$21+$D191*'Коэффициенты (ПС)'!$G$22+$D190*'Коэффициенты (ПС)'!$G$23+$D189*'Коэффициенты (ПС)'!$G$24+$D188*'Коэффициенты (ПС)'!$G$25+$D187*'Коэффициенты (ПС)'!$G$26+$D186*'Коэффициенты (ПС)'!$G$27+$D185*'Коэффициенты (ПС)'!$G$28+$D184*'Коэффициенты (ПС)'!$G$29+$D183*'Коэффициенты (ПС)'!$G$30+$D182*'Коэффициенты (ПС)'!$G$31+$D181*'Коэффициенты (ПС)'!$G$32+$D180*'Коэффициенты (ПС)'!$G$33+$D179*'Коэффициенты (ПС)'!$G$34+$D178*'Коэффициенты (ПС)'!$G$35+$D177*'Коэффициенты (ПС)'!$G$36+$D176*'Коэффициенты (ПС)'!$G$37+$D175*'Коэффициенты (ПС)'!$G$38+$D174*'Коэффициенты (ПС)'!$G$39+$D173*'Коэффициенты (ПС)'!$G$40+$D172*'Коэффициенты (ПС)'!$G$41+$D171*'Коэффициенты (ПС)'!$G$42+$D170*'Коэффициенты (ПС)'!$G$43+$D169*'Коэффициенты (ПС)'!$G$44+$D168*'Коэффициенты (ПС)'!$G$45+$D167*'Коэффициенты (ПС)'!$G$46+$D166*'Коэффициенты (ПС)'!$G$47+$D165*'Коэффициенты (ПС)'!$G$48+$D164*'Коэффициенты (ПС)'!$G$49+$D163*'Коэффициенты (ПС)'!$G$50+$D162*'Коэффициенты (ПС)'!$G$51+$D161*'Коэффициенты (ПС)'!$G$52+$D160*'Коэффициенты (ПС)'!$G$53+$D159*'Коэффициенты (ПС)'!$G$54+$D158*'Коэффициенты (ПС)'!$G$55+$D157*'Коэффициенты (ПС)'!$G$56+$D156*'Коэффициенты (ПС)'!$G$57+$D155*'Коэффициенты (ПС)'!$G$58+$D154*'Коэффициенты (ПС)'!$G$59+$D153*'Коэффициенты (ПС)'!$G$60+$D152*'Коэффициенты (ПС)'!$G$61+$D151*'Коэффициенты (ПС)'!$G$62+$D150*'Коэффициенты (ПС)'!$G$63+$D149*'Коэффициенты (ПС)'!$G$64+$D148*'Коэффициенты (ПС)'!$G$65+$D147*'Коэффициенты (ПС)'!$G$66+$D146*'Коэффициенты (ПС)'!$G$67</f>
        <v>1535.4874519197247</v>
      </c>
      <c r="F206" s="37">
        <f>$D205*'Коэффициенты (БЛ)'!$G$7+Расчет!$D204*'Коэффициенты (БЛ)'!$G$8+$D203*'Коэффициенты (БЛ)'!$G$9+$D202*'Коэффициенты (БЛ)'!$G$10+$D201*'Коэффициенты (БЛ)'!$G$11+$D200*'Коэффициенты (БЛ)'!$G$12+$D199*'Коэффициенты (БЛ)'!$G$13+$D198*'Коэффициенты (БЛ)'!$G$14+$D197*'Коэффициенты (БЛ)'!$G$15+$D196*'Коэффициенты (БЛ)'!$G$16+$D195*'Коэффициенты (БЛ)'!$G$17+$D194*'Коэффициенты (БЛ)'!$G$18+$D193*'Коэффициенты (БЛ)'!$G$19+$D192*'Коэффициенты (БЛ)'!$G$20+$D191*'Коэффициенты (БЛ)'!$G$21+$D190*'Коэффициенты (БЛ)'!$G$22+$D189*'Коэффициенты (БЛ)'!$G$23+$D188*'Коэффициенты (БЛ)'!$G$24+$D187*'Коэффициенты (БЛ)'!$G$25+$D186*'Коэффициенты (БЛ)'!$G$26+$D185*'Коэффициенты (БЛ)'!$G$27+$D184*'Коэффициенты (БЛ)'!$G$28+$D183*'Коэффициенты (БЛ)'!$G$29+$D182*'Коэффициенты (БЛ)'!$G$30+$D181*'Коэффициенты (БЛ)'!$G$31+$D180*'Коэффициенты (БЛ)'!$G$32+$D179*'Коэффициенты (БЛ)'!$G$33+$D178*'Коэффициенты (БЛ)'!$G$34+$D177*'Коэффициенты (БЛ)'!$G$35+$D176*'Коэффициенты (БЛ)'!$G$36+$D175*'Коэффициенты (БЛ)'!$G$37+$D174*'Коэффициенты (БЛ)'!$G$38+$D173*'Коэффициенты (БЛ)'!$G$39+$D172*'Коэффициенты (БЛ)'!$G$40+$D171*'Коэффициенты (БЛ)'!$G$41+$D170*'Коэффициенты (БЛ)'!$G$42+$D169*'Коэффициенты (БЛ)'!$G$43+$D168*'Коэффициенты (БЛ)'!$G$44+$D167*'Коэффициенты (БЛ)'!$G$45+$D166*'Коэффициенты (БЛ)'!$G$46+$D165*'Коэффициенты (БЛ)'!$G$47+$D164*'Коэффициенты (БЛ)'!$G$48+$D163*'Коэффициенты (БЛ)'!$G$49+$D162*'Коэффициенты (БЛ)'!$G$50+$D161*'Коэффициенты (БЛ)'!$G$51+$D160*'Коэффициенты (БЛ)'!$G$52+$D159*'Коэффициенты (БЛ)'!$G$53+$D158*'Коэффициенты (БЛ)'!$G$54+$D157*'Коэффициенты (БЛ)'!$G$55+$D156*'Коэффициенты (БЛ)'!$G$56+$D155*'Коэффициенты (БЛ)'!$G$57+$D154*'Коэффициенты (БЛ)'!$G$58+$D153*'Коэффициенты (БЛ)'!$G$59+$D152*'Коэффициенты (БЛ)'!$G$60+$D151*'Коэффициенты (БЛ)'!$G$61+$D150*'Коэффициенты (БЛ)'!$G$62+$D149*'Коэффициенты (БЛ)'!$G$63+$D148*'Коэффициенты (БЛ)'!$G$64+$D147*'Коэффициенты (БЛ)'!$G$65+$D146*'Коэффициенты (БЛ)'!$G$66</f>
        <v>40.185543258593697</v>
      </c>
      <c r="G206" s="43">
        <v>1</v>
      </c>
      <c r="H206" s="43">
        <f t="shared" si="12"/>
        <v>1535.4874519197247</v>
      </c>
      <c r="I206" s="43">
        <f t="shared" si="13"/>
        <v>40.185543258593697</v>
      </c>
    </row>
    <row r="207" spans="2:9" ht="18" customHeight="1" x14ac:dyDescent="0.35">
      <c r="B207" s="49"/>
      <c r="C207" s="36">
        <v>8</v>
      </c>
      <c r="D207" s="37">
        <f>'Обработка руды'!E181</f>
        <v>0</v>
      </c>
      <c r="E207" s="37">
        <f>$D206*'Коэффициенты (ПС)'!$G$8+Расчет!$D205*'Коэффициенты (ПС)'!$G$9+$D204*'Коэффициенты (ПС)'!$G$10+$D203*'Коэффициенты (ПС)'!$G$11+$D202*'Коэффициенты (ПС)'!$G$12+$D201*'Коэффициенты (ПС)'!$G$13+$D200*'Коэффициенты (ПС)'!$G$14+$D199*'Коэффициенты (ПС)'!$G$15+$D198*'Коэффициенты (ПС)'!$G$16+$D197*'Коэффициенты (ПС)'!$G$17+$D196*'Коэффициенты (ПС)'!$G$18+$D195*'Коэффициенты (ПС)'!$G$19+$D194*'Коэффициенты (ПС)'!$G$20+$D193*'Коэффициенты (ПС)'!$G$21+$D192*'Коэффициенты (ПС)'!$G$22+$D191*'Коэффициенты (ПС)'!$G$23+$D190*'Коэффициенты (ПС)'!$G$24+$D189*'Коэффициенты (ПС)'!$G$25+$D188*'Коэффициенты (ПС)'!$G$26+$D187*'Коэффициенты (ПС)'!$G$27+$D186*'Коэффициенты (ПС)'!$G$28+$D185*'Коэффициенты (ПС)'!$G$29+$D184*'Коэффициенты (ПС)'!$G$30+$D183*'Коэффициенты (ПС)'!$G$31+$D182*'Коэффициенты (ПС)'!$G$32+$D181*'Коэффициенты (ПС)'!$G$33+$D180*'Коэффициенты (ПС)'!$G$34+$D179*'Коэффициенты (ПС)'!$G$35+$D178*'Коэффициенты (ПС)'!$G$36+$D177*'Коэффициенты (ПС)'!$G$37+$D176*'Коэффициенты (ПС)'!$G$38+$D175*'Коэффициенты (ПС)'!$G$39+$D174*'Коэффициенты (ПС)'!$G$40+$D173*'Коэффициенты (ПС)'!$G$41+$D172*'Коэффициенты (ПС)'!$G$42+$D171*'Коэффициенты (ПС)'!$G$43+$D170*'Коэффициенты (ПС)'!$G$44+$D169*'Коэффициенты (ПС)'!$G$45+$D168*'Коэффициенты (ПС)'!$G$46+$D167*'Коэффициенты (ПС)'!$G$47+$D166*'Коэффициенты (ПС)'!$G$48+$D165*'Коэффициенты (ПС)'!$G$49+$D164*'Коэффициенты (ПС)'!$G$50+$D163*'Коэффициенты (ПС)'!$G$51+$D162*'Коэффициенты (ПС)'!$G$52+$D161*'Коэффициенты (ПС)'!$G$53+$D160*'Коэффициенты (ПС)'!$G$54+$D159*'Коэффициенты (ПС)'!$G$55+$D158*'Коэффициенты (ПС)'!$G$56+$D157*'Коэффициенты (ПС)'!$G$57+$D156*'Коэффициенты (ПС)'!$G$58+$D155*'Коэффициенты (ПС)'!$G$59+$D154*'Коэффициенты (ПС)'!$G$60+$D153*'Коэффициенты (ПС)'!$G$61+$D152*'Коэффициенты (ПС)'!$G$62+$D151*'Коэффициенты (ПС)'!$G$63+$D150*'Коэффициенты (ПС)'!$G$64+$D149*'Коэффициенты (ПС)'!$G$65+$D148*'Коэффициенты (ПС)'!$G$66+$D147*'Коэффициенты (ПС)'!$G$67</f>
        <v>1464.2689321322878</v>
      </c>
      <c r="F207" s="37">
        <f>$D206*'Коэффициенты (БЛ)'!$G$7+Расчет!$D205*'Коэффициенты (БЛ)'!$G$8+$D204*'Коэффициенты (БЛ)'!$G$9+$D203*'Коэффициенты (БЛ)'!$G$10+$D202*'Коэффициенты (БЛ)'!$G$11+$D201*'Коэффициенты (БЛ)'!$G$12+$D200*'Коэффициенты (БЛ)'!$G$13+$D199*'Коэффициенты (БЛ)'!$G$14+$D198*'Коэффициенты (БЛ)'!$G$15+$D197*'Коэффициенты (БЛ)'!$G$16+$D196*'Коэффициенты (БЛ)'!$G$17+$D195*'Коэффициенты (БЛ)'!$G$18+$D194*'Коэффициенты (БЛ)'!$G$19+$D193*'Коэффициенты (БЛ)'!$G$20+$D192*'Коэффициенты (БЛ)'!$G$21+$D191*'Коэффициенты (БЛ)'!$G$22+$D190*'Коэффициенты (БЛ)'!$G$23+$D189*'Коэффициенты (БЛ)'!$G$24+$D188*'Коэффициенты (БЛ)'!$G$25+$D187*'Коэффициенты (БЛ)'!$G$26+$D186*'Коэффициенты (БЛ)'!$G$27+$D185*'Коэффициенты (БЛ)'!$G$28+$D184*'Коэффициенты (БЛ)'!$G$29+$D183*'Коэффициенты (БЛ)'!$G$30+$D182*'Коэффициенты (БЛ)'!$G$31+$D181*'Коэффициенты (БЛ)'!$G$32+$D180*'Коэффициенты (БЛ)'!$G$33+$D179*'Коэффициенты (БЛ)'!$G$34+$D178*'Коэффициенты (БЛ)'!$G$35+$D177*'Коэффициенты (БЛ)'!$G$36+$D176*'Коэффициенты (БЛ)'!$G$37+$D175*'Коэффициенты (БЛ)'!$G$38+$D174*'Коэффициенты (БЛ)'!$G$39+$D173*'Коэффициенты (БЛ)'!$G$40+$D172*'Коэффициенты (БЛ)'!$G$41+$D171*'Коэффициенты (БЛ)'!$G$42+$D170*'Коэффициенты (БЛ)'!$G$43+$D169*'Коэффициенты (БЛ)'!$G$44+$D168*'Коэффициенты (БЛ)'!$G$45+$D167*'Коэффициенты (БЛ)'!$G$46+$D166*'Коэффициенты (БЛ)'!$G$47+$D165*'Коэффициенты (БЛ)'!$G$48+$D164*'Коэффициенты (БЛ)'!$G$49+$D163*'Коэффициенты (БЛ)'!$G$50+$D162*'Коэффициенты (БЛ)'!$G$51+$D161*'Коэффициенты (БЛ)'!$G$52+$D160*'Коэффициенты (БЛ)'!$G$53+$D159*'Коэффициенты (БЛ)'!$G$54+$D158*'Коэффициенты (БЛ)'!$G$55+$D157*'Коэффициенты (БЛ)'!$G$56+$D156*'Коэффициенты (БЛ)'!$G$57+$D155*'Коэффициенты (БЛ)'!$G$58+$D154*'Коэффициенты (БЛ)'!$G$59+$D153*'Коэффициенты (БЛ)'!$G$60+$D152*'Коэффициенты (БЛ)'!$G$61+$D151*'Коэффициенты (БЛ)'!$G$62+$D150*'Коэффициенты (БЛ)'!$G$63+$D149*'Коэффициенты (БЛ)'!$G$64+$D148*'Коэффициенты (БЛ)'!$G$65+$D147*'Коэффициенты (БЛ)'!$G$66</f>
        <v>38.321669409183301</v>
      </c>
      <c r="G207" s="43">
        <v>1</v>
      </c>
      <c r="H207" s="43">
        <f t="shared" si="12"/>
        <v>1464.2689321322878</v>
      </c>
      <c r="I207" s="43">
        <f t="shared" si="13"/>
        <v>38.321669409183301</v>
      </c>
    </row>
    <row r="208" spans="2:9" ht="18" customHeight="1" x14ac:dyDescent="0.35">
      <c r="B208" s="49"/>
      <c r="C208" s="36">
        <v>9</v>
      </c>
      <c r="D208" s="37">
        <f>'Обработка руды'!E182</f>
        <v>0</v>
      </c>
      <c r="E208" s="37">
        <f>$D207*'Коэффициенты (ПС)'!$G$8+Расчет!$D206*'Коэффициенты (ПС)'!$G$9+$D205*'Коэффициенты (ПС)'!$G$10+$D204*'Коэффициенты (ПС)'!$G$11+$D203*'Коэффициенты (ПС)'!$G$12+$D202*'Коэффициенты (ПС)'!$G$13+$D201*'Коэффициенты (ПС)'!$G$14+$D200*'Коэффициенты (ПС)'!$G$15+$D199*'Коэффициенты (ПС)'!$G$16+$D198*'Коэффициенты (ПС)'!$G$17+$D197*'Коэффициенты (ПС)'!$G$18+$D196*'Коэффициенты (ПС)'!$G$19+$D195*'Коэффициенты (ПС)'!$G$20+$D194*'Коэффициенты (ПС)'!$G$21+$D193*'Коэффициенты (ПС)'!$G$22+$D192*'Коэффициенты (ПС)'!$G$23+$D191*'Коэффициенты (ПС)'!$G$24+$D190*'Коэффициенты (ПС)'!$G$25+$D189*'Коэффициенты (ПС)'!$G$26+$D188*'Коэффициенты (ПС)'!$G$27+$D187*'Коэффициенты (ПС)'!$G$28+$D186*'Коэффициенты (ПС)'!$G$29+$D185*'Коэффициенты (ПС)'!$G$30+$D184*'Коэффициенты (ПС)'!$G$31+$D183*'Коэффициенты (ПС)'!$G$32+$D182*'Коэффициенты (ПС)'!$G$33+$D181*'Коэффициенты (ПС)'!$G$34+$D180*'Коэффициенты (ПС)'!$G$35+$D179*'Коэффициенты (ПС)'!$G$36+$D178*'Коэффициенты (ПС)'!$G$37+$D177*'Коэффициенты (ПС)'!$G$38+$D176*'Коэффициенты (ПС)'!$G$39+$D175*'Коэффициенты (ПС)'!$G$40+$D174*'Коэффициенты (ПС)'!$G$41+$D173*'Коэффициенты (ПС)'!$G$42+$D172*'Коэффициенты (ПС)'!$G$43+$D171*'Коэффициенты (ПС)'!$G$44+$D170*'Коэффициенты (ПС)'!$G$45+$D169*'Коэффициенты (ПС)'!$G$46+$D168*'Коэффициенты (ПС)'!$G$47+$D167*'Коэффициенты (ПС)'!$G$48+$D166*'Коэффициенты (ПС)'!$G$49+$D165*'Коэффициенты (ПС)'!$G$50+$D164*'Коэффициенты (ПС)'!$G$51+$D163*'Коэффициенты (ПС)'!$G$52+$D162*'Коэффициенты (ПС)'!$G$53+$D161*'Коэффициенты (ПС)'!$G$54+$D160*'Коэффициенты (ПС)'!$G$55+$D159*'Коэффициенты (ПС)'!$G$56+$D158*'Коэффициенты (ПС)'!$G$57+$D157*'Коэффициенты (ПС)'!$G$58+$D156*'Коэффициенты (ПС)'!$G$59+$D155*'Коэффициенты (ПС)'!$G$60+$D154*'Коэффициенты (ПС)'!$G$61+$D153*'Коэффициенты (ПС)'!$G$62+$D152*'Коэффициенты (ПС)'!$G$63+$D151*'Коэффициенты (ПС)'!$G$64+$D150*'Коэффициенты (ПС)'!$G$65+$D149*'Коэффициенты (ПС)'!$G$66+$D148*'Коэффициенты (ПС)'!$G$67</f>
        <v>1419.5523423489572</v>
      </c>
      <c r="F208" s="37">
        <f>$D207*'Коэффициенты (БЛ)'!$G$7+Расчет!$D206*'Коэффициенты (БЛ)'!$G$8+$D205*'Коэффициенты (БЛ)'!$G$9+$D204*'Коэффициенты (БЛ)'!$G$10+$D203*'Коэффициенты (БЛ)'!$G$11+$D202*'Коэффициенты (БЛ)'!$G$12+$D201*'Коэффициенты (БЛ)'!$G$13+$D200*'Коэффициенты (БЛ)'!$G$14+$D199*'Коэффициенты (БЛ)'!$G$15+$D198*'Коэффициенты (БЛ)'!$G$16+$D197*'Коэффициенты (БЛ)'!$G$17+$D196*'Коэффициенты (БЛ)'!$G$18+$D195*'Коэффициенты (БЛ)'!$G$19+$D194*'Коэффициенты (БЛ)'!$G$20+$D193*'Коэффициенты (БЛ)'!$G$21+$D192*'Коэффициенты (БЛ)'!$G$22+$D191*'Коэффициенты (БЛ)'!$G$23+$D190*'Коэффициенты (БЛ)'!$G$24+$D189*'Коэффициенты (БЛ)'!$G$25+$D188*'Коэффициенты (БЛ)'!$G$26+$D187*'Коэффициенты (БЛ)'!$G$27+$D186*'Коэффициенты (БЛ)'!$G$28+$D185*'Коэффициенты (БЛ)'!$G$29+$D184*'Коэффициенты (БЛ)'!$G$30+$D183*'Коэффициенты (БЛ)'!$G$31+$D182*'Коэффициенты (БЛ)'!$G$32+$D181*'Коэффициенты (БЛ)'!$G$33+$D180*'Коэффициенты (БЛ)'!$G$34+$D179*'Коэффициенты (БЛ)'!$G$35+$D178*'Коэффициенты (БЛ)'!$G$36+$D177*'Коэффициенты (БЛ)'!$G$37+$D176*'Коэффициенты (БЛ)'!$G$38+$D175*'Коэффициенты (БЛ)'!$G$39+$D174*'Коэффициенты (БЛ)'!$G$40+$D173*'Коэффициенты (БЛ)'!$G$41+$D172*'Коэффициенты (БЛ)'!$G$42+$D171*'Коэффициенты (БЛ)'!$G$43+$D170*'Коэффициенты (БЛ)'!$G$44+$D169*'Коэффициенты (БЛ)'!$G$45+$D168*'Коэффициенты (БЛ)'!$G$46+$D167*'Коэффициенты (БЛ)'!$G$47+$D166*'Коэффициенты (БЛ)'!$G$48+$D165*'Коэффициенты (БЛ)'!$G$49+$D164*'Коэффициенты (БЛ)'!$G$50+$D163*'Коэффициенты (БЛ)'!$G$51+$D162*'Коэффициенты (БЛ)'!$G$52+$D161*'Коэффициенты (БЛ)'!$G$53+$D160*'Коэффициенты (БЛ)'!$G$54+$D159*'Коэффициенты (БЛ)'!$G$55+$D158*'Коэффициенты (БЛ)'!$G$56+$D157*'Коэффициенты (БЛ)'!$G$57+$D156*'Коэффициенты (БЛ)'!$G$58+$D155*'Коэффициенты (БЛ)'!$G$59+$D154*'Коэффициенты (БЛ)'!$G$60+$D153*'Коэффициенты (БЛ)'!$G$61+$D152*'Коэффициенты (БЛ)'!$G$62+$D151*'Коэффициенты (БЛ)'!$G$63+$D150*'Коэффициенты (БЛ)'!$G$64+$D149*'Коэффициенты (БЛ)'!$G$65+$D148*'Коэффициенты (БЛ)'!$G$66</f>
        <v>37.151382767720854</v>
      </c>
      <c r="G208" s="43">
        <v>1</v>
      </c>
      <c r="H208" s="43">
        <f t="shared" si="12"/>
        <v>1419.5523423489572</v>
      </c>
      <c r="I208" s="43">
        <f t="shared" si="13"/>
        <v>37.151382767720854</v>
      </c>
    </row>
    <row r="209" spans="2:9" ht="18" customHeight="1" x14ac:dyDescent="0.35">
      <c r="B209" s="49"/>
      <c r="C209" s="36">
        <v>10</v>
      </c>
      <c r="D209" s="37">
        <f>'Обработка руды'!E183</f>
        <v>0</v>
      </c>
      <c r="E209" s="37">
        <f>$D208*'Коэффициенты (ПС)'!$G$8+Расчет!$D207*'Коэффициенты (ПС)'!$G$9+$D206*'Коэффициенты (ПС)'!$G$10+$D205*'Коэффициенты (ПС)'!$G$11+$D204*'Коэффициенты (ПС)'!$G$12+$D203*'Коэффициенты (ПС)'!$G$13+$D202*'Коэффициенты (ПС)'!$G$14+$D201*'Коэффициенты (ПС)'!$G$15+$D200*'Коэффициенты (ПС)'!$G$16+$D199*'Коэффициенты (ПС)'!$G$17+$D198*'Коэффициенты (ПС)'!$G$18+$D197*'Коэффициенты (ПС)'!$G$19+$D196*'Коэффициенты (ПС)'!$G$20+$D195*'Коэффициенты (ПС)'!$G$21+$D194*'Коэффициенты (ПС)'!$G$22+$D193*'Коэффициенты (ПС)'!$G$23+$D192*'Коэффициенты (ПС)'!$G$24+$D191*'Коэффициенты (ПС)'!$G$25+$D190*'Коэффициенты (ПС)'!$G$26+$D189*'Коэффициенты (ПС)'!$G$27+$D188*'Коэффициенты (ПС)'!$G$28+$D187*'Коэффициенты (ПС)'!$G$29+$D186*'Коэффициенты (ПС)'!$G$30+$D185*'Коэффициенты (ПС)'!$G$31+$D184*'Коэффициенты (ПС)'!$G$32+$D183*'Коэффициенты (ПС)'!$G$33+$D182*'Коэффициенты (ПС)'!$G$34+$D181*'Коэффициенты (ПС)'!$G$35+$D180*'Коэффициенты (ПС)'!$G$36+$D179*'Коэффициенты (ПС)'!$G$37+$D178*'Коэффициенты (ПС)'!$G$38+$D177*'Коэффициенты (ПС)'!$G$39+$D176*'Коэффициенты (ПС)'!$G$40+$D175*'Коэффициенты (ПС)'!$G$41+$D174*'Коэффициенты (ПС)'!$G$42+$D173*'Коэффициенты (ПС)'!$G$43+$D172*'Коэффициенты (ПС)'!$G$44+$D171*'Коэффициенты (ПС)'!$G$45+$D170*'Коэффициенты (ПС)'!$G$46+$D169*'Коэффициенты (ПС)'!$G$47+$D168*'Коэффициенты (ПС)'!$G$48+$D167*'Коэффициенты (ПС)'!$G$49+$D166*'Коэффициенты (ПС)'!$G$50+$D165*'Коэффициенты (ПС)'!$G$51+$D164*'Коэффициенты (ПС)'!$G$52+$D163*'Коэффициенты (ПС)'!$G$53+$D162*'Коэффициенты (ПС)'!$G$54+$D161*'Коэффициенты (ПС)'!$G$55+$D160*'Коэффициенты (ПС)'!$G$56+$D159*'Коэффициенты (ПС)'!$G$57+$D158*'Коэффициенты (ПС)'!$G$58+$D157*'Коэффициенты (ПС)'!$G$59+$D156*'Коэффициенты (ПС)'!$G$60+$D155*'Коэффициенты (ПС)'!$G$61+$D154*'Коэффициенты (ПС)'!$G$62+$D153*'Коэффициенты (ПС)'!$G$63+$D152*'Коэффициенты (ПС)'!$G$64+$D151*'Коэффициенты (ПС)'!$G$65+$D150*'Коэффициенты (ПС)'!$G$66+$D149*'Коэффициенты (ПС)'!$G$67</f>
        <v>1395.9010343626719</v>
      </c>
      <c r="F209" s="37">
        <f>$D208*'Коэффициенты (БЛ)'!$G$7+Расчет!$D207*'Коэффициенты (БЛ)'!$G$8+$D206*'Коэффициенты (БЛ)'!$G$9+$D205*'Коэффициенты (БЛ)'!$G$10+$D204*'Коэффициенты (БЛ)'!$G$11+$D203*'Коэффициенты (БЛ)'!$G$12+$D202*'Коэффициенты (БЛ)'!$G$13+$D201*'Коэффициенты (БЛ)'!$G$14+$D200*'Коэффициенты (БЛ)'!$G$15+$D199*'Коэффициенты (БЛ)'!$G$16+$D198*'Коэффициенты (БЛ)'!$G$17+$D197*'Коэффициенты (БЛ)'!$G$18+$D196*'Коэффициенты (БЛ)'!$G$19+$D195*'Коэффициенты (БЛ)'!$G$20+$D194*'Коэффициенты (БЛ)'!$G$21+$D193*'Коэффициенты (БЛ)'!$G$22+$D192*'Коэффициенты (БЛ)'!$G$23+$D191*'Коэффициенты (БЛ)'!$G$24+$D190*'Коэффициенты (БЛ)'!$G$25+$D189*'Коэффициенты (БЛ)'!$G$26+$D188*'Коэффициенты (БЛ)'!$G$27+$D187*'Коэффициенты (БЛ)'!$G$28+$D186*'Коэффициенты (БЛ)'!$G$29+$D185*'Коэффициенты (БЛ)'!$G$30+$D184*'Коэффициенты (БЛ)'!$G$31+$D183*'Коэффициенты (БЛ)'!$G$32+$D182*'Коэффициенты (БЛ)'!$G$33+$D181*'Коэффициенты (БЛ)'!$G$34+$D180*'Коэффициенты (БЛ)'!$G$35+$D179*'Коэффициенты (БЛ)'!$G$36+$D178*'Коэффициенты (БЛ)'!$G$37+$D177*'Коэффициенты (БЛ)'!$G$38+$D176*'Коэффициенты (БЛ)'!$G$39+$D175*'Коэффициенты (БЛ)'!$G$40+$D174*'Коэффициенты (БЛ)'!$G$41+$D173*'Коэффициенты (БЛ)'!$G$42+$D172*'Коэффициенты (БЛ)'!$G$43+$D171*'Коэффициенты (БЛ)'!$G$44+$D170*'Коэффициенты (БЛ)'!$G$45+$D169*'Коэффициенты (БЛ)'!$G$46+$D168*'Коэффициенты (БЛ)'!$G$47+$D167*'Коэффициенты (БЛ)'!$G$48+$D166*'Коэффициенты (БЛ)'!$G$49+$D165*'Коэффициенты (БЛ)'!$G$50+$D164*'Коэффициенты (БЛ)'!$G$51+$D163*'Коэффициенты (БЛ)'!$G$52+$D162*'Коэффициенты (БЛ)'!$G$53+$D161*'Коэффициенты (БЛ)'!$G$54+$D160*'Коэффициенты (БЛ)'!$G$55+$D159*'Коэффициенты (БЛ)'!$G$56+$D158*'Коэффициенты (БЛ)'!$G$57+$D157*'Коэффициенты (БЛ)'!$G$58+$D156*'Коэффициенты (БЛ)'!$G$59+$D155*'Коэффициенты (БЛ)'!$G$60+$D154*'Коэффициенты (БЛ)'!$G$61+$D153*'Коэффициенты (БЛ)'!$G$62+$D152*'Коэффициенты (БЛ)'!$G$63+$D151*'Коэффициенты (БЛ)'!$G$64+$D150*'Коэффициенты (БЛ)'!$G$65+$D149*'Коэффициенты (БЛ)'!$G$66</f>
        <v>36.532399747692239</v>
      </c>
      <c r="G209" s="43">
        <v>1</v>
      </c>
      <c r="H209" s="43">
        <f t="shared" si="12"/>
        <v>1395.9010343626719</v>
      </c>
      <c r="I209" s="43">
        <f t="shared" si="13"/>
        <v>36.532399747692239</v>
      </c>
    </row>
  </sheetData>
  <mergeCells count="39">
    <mergeCell ref="B188:B199"/>
    <mergeCell ref="B200:B209"/>
    <mergeCell ref="B116:B127"/>
    <mergeCell ref="B128:B139"/>
    <mergeCell ref="B140:B151"/>
    <mergeCell ref="B152:B163"/>
    <mergeCell ref="B164:B175"/>
    <mergeCell ref="B176:B187"/>
    <mergeCell ref="B8:C8"/>
    <mergeCell ref="B9:C9"/>
    <mergeCell ref="B10:C10"/>
    <mergeCell ref="B104:B115"/>
    <mergeCell ref="B20:C20"/>
    <mergeCell ref="B21:C21"/>
    <mergeCell ref="B22:C22"/>
    <mergeCell ref="B30:B31"/>
    <mergeCell ref="B32:B43"/>
    <mergeCell ref="B44:B55"/>
    <mergeCell ref="B56:B67"/>
    <mergeCell ref="B68:B79"/>
    <mergeCell ref="B80:B91"/>
    <mergeCell ref="B92:B103"/>
    <mergeCell ref="B27:D27"/>
    <mergeCell ref="H28:I28"/>
    <mergeCell ref="B19:C19"/>
    <mergeCell ref="H6:H21"/>
    <mergeCell ref="I6:I21"/>
    <mergeCell ref="B16:C16"/>
    <mergeCell ref="B17:C17"/>
    <mergeCell ref="B18:C18"/>
    <mergeCell ref="B25:D25"/>
    <mergeCell ref="B26:D26"/>
    <mergeCell ref="B11:C11"/>
    <mergeCell ref="B12:C12"/>
    <mergeCell ref="B13:C13"/>
    <mergeCell ref="B14:C14"/>
    <mergeCell ref="B15:C15"/>
    <mergeCell ref="B6:C6"/>
    <mergeCell ref="B7:C7"/>
  </mergeCells>
  <phoneticPr fontId="1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8E36E-AD58-436B-9244-8157BB9653F5}">
  <dimension ref="A1"/>
  <sheetViews>
    <sheetView workbookViewId="0">
      <selection activeCell="E11" sqref="E11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69FE6-5FAE-422A-A2EC-6B54C48209D0}">
  <dimension ref="B1:H67"/>
  <sheetViews>
    <sheetView showGridLines="0" workbookViewId="0">
      <selection activeCell="B5" sqref="B5:E5"/>
    </sheetView>
  </sheetViews>
  <sheetFormatPr defaultRowHeight="12.5" x14ac:dyDescent="0.25"/>
  <cols>
    <col min="1" max="1" width="3.453125" style="18" customWidth="1"/>
    <col min="2" max="2" width="10.6328125" style="18" customWidth="1"/>
    <col min="3" max="4" width="10.6328125" style="20" customWidth="1"/>
    <col min="5" max="7" width="18.6328125" style="18" customWidth="1"/>
    <col min="8" max="8" width="53.453125" style="18" customWidth="1"/>
    <col min="9" max="16384" width="8.7265625" style="18"/>
  </cols>
  <sheetData>
    <row r="1" spans="2:8" x14ac:dyDescent="0.25">
      <c r="C1" s="18"/>
      <c r="D1" s="18"/>
    </row>
    <row r="2" spans="2:8" x14ac:dyDescent="0.25">
      <c r="B2" s="62" t="s">
        <v>24</v>
      </c>
      <c r="C2" s="62"/>
      <c r="D2" s="62"/>
      <c r="E2" s="62"/>
      <c r="F2" s="62"/>
      <c r="G2" s="63" t="s">
        <v>22</v>
      </c>
      <c r="H2" s="63"/>
    </row>
    <row r="3" spans="2:8" ht="22.5" customHeight="1" x14ac:dyDescent="0.25">
      <c r="B3" s="60" t="s">
        <v>20</v>
      </c>
      <c r="C3" s="61"/>
      <c r="D3" s="61"/>
      <c r="E3" s="22">
        <v>0.2</v>
      </c>
      <c r="F3" s="23" t="s">
        <v>19</v>
      </c>
      <c r="G3" s="58" t="s">
        <v>23</v>
      </c>
      <c r="H3" s="59"/>
    </row>
    <row r="4" spans="2:8" ht="34.5" customHeight="1" x14ac:dyDescent="0.25">
      <c r="B4" s="30" t="s">
        <v>21</v>
      </c>
      <c r="C4" s="31"/>
      <c r="D4" s="31"/>
      <c r="E4" s="31"/>
      <c r="F4" s="25"/>
      <c r="G4" s="58"/>
      <c r="H4" s="59"/>
    </row>
    <row r="5" spans="2:8" ht="34.5" customHeight="1" x14ac:dyDescent="0.25">
      <c r="B5" s="56" t="s">
        <v>31</v>
      </c>
      <c r="C5" s="57"/>
      <c r="D5" s="57"/>
      <c r="E5" s="29">
        <v>0.1</v>
      </c>
      <c r="F5" s="24"/>
      <c r="G5" s="58"/>
      <c r="H5" s="59"/>
    </row>
    <row r="6" spans="2:8" ht="19.5" customHeight="1" x14ac:dyDescent="0.25"/>
    <row r="7" spans="2:8" ht="31" x14ac:dyDescent="0.25">
      <c r="B7" s="16" t="s">
        <v>14</v>
      </c>
      <c r="C7" s="16" t="s">
        <v>15</v>
      </c>
      <c r="D7" s="16" t="s">
        <v>2</v>
      </c>
      <c r="E7" s="16" t="s">
        <v>16</v>
      </c>
      <c r="F7" s="16" t="s">
        <v>17</v>
      </c>
      <c r="G7" s="16" t="s">
        <v>18</v>
      </c>
    </row>
    <row r="8" spans="2:8" x14ac:dyDescent="0.25">
      <c r="B8" s="49">
        <v>1</v>
      </c>
      <c r="C8" s="5">
        <v>1</v>
      </c>
      <c r="D8" s="5">
        <v>31</v>
      </c>
      <c r="E8" s="19">
        <f t="shared" ref="E8:E39" si="0">$E$3*SQRT(D8)</f>
        <v>1.1135528725660044</v>
      </c>
      <c r="F8" s="19">
        <f>E8</f>
        <v>1.1135528725660044</v>
      </c>
      <c r="G8" s="21">
        <f>F8/100</f>
        <v>1.1135528725660045E-2</v>
      </c>
    </row>
    <row r="9" spans="2:8" x14ac:dyDescent="0.25">
      <c r="B9" s="49"/>
      <c r="C9" s="5">
        <v>2</v>
      </c>
      <c r="D9" s="5">
        <v>59</v>
      </c>
      <c r="E9" s="19">
        <f t="shared" si="0"/>
        <v>1.5362291495737217</v>
      </c>
      <c r="F9" s="19">
        <f>E9-E8</f>
        <v>0.42267627700771726</v>
      </c>
      <c r="G9" s="21">
        <f t="shared" ref="G9:G67" si="1">F9/100</f>
        <v>4.2267627700771724E-3</v>
      </c>
    </row>
    <row r="10" spans="2:8" x14ac:dyDescent="0.25">
      <c r="B10" s="49"/>
      <c r="C10" s="5">
        <v>3</v>
      </c>
      <c r="D10" s="5">
        <v>90</v>
      </c>
      <c r="E10" s="19">
        <f t="shared" si="0"/>
        <v>1.8973665961010278</v>
      </c>
      <c r="F10" s="19">
        <f t="shared" ref="F10:F67" si="2">E10-E9</f>
        <v>0.36113744652730606</v>
      </c>
      <c r="G10" s="21">
        <f t="shared" si="1"/>
        <v>3.6113744652730606E-3</v>
      </c>
    </row>
    <row r="11" spans="2:8" x14ac:dyDescent="0.25">
      <c r="B11" s="49"/>
      <c r="C11" s="5">
        <v>4</v>
      </c>
      <c r="D11" s="5">
        <v>120</v>
      </c>
      <c r="E11" s="19">
        <f t="shared" si="0"/>
        <v>2.1908902300206647</v>
      </c>
      <c r="F11" s="19">
        <f t="shared" si="2"/>
        <v>0.29352363391963698</v>
      </c>
      <c r="G11" s="21">
        <f t="shared" si="1"/>
        <v>2.9352363391963697E-3</v>
      </c>
    </row>
    <row r="12" spans="2:8" x14ac:dyDescent="0.25">
      <c r="B12" s="49"/>
      <c r="C12" s="5">
        <v>5</v>
      </c>
      <c r="D12" s="5">
        <v>151</v>
      </c>
      <c r="E12" s="19">
        <f t="shared" si="0"/>
        <v>2.4576411454889016</v>
      </c>
      <c r="F12" s="19">
        <f t="shared" si="2"/>
        <v>0.26675091546823682</v>
      </c>
      <c r="G12" s="21">
        <f t="shared" si="1"/>
        <v>2.6675091546823682E-3</v>
      </c>
    </row>
    <row r="13" spans="2:8" x14ac:dyDescent="0.25">
      <c r="B13" s="49"/>
      <c r="C13" s="5">
        <v>6</v>
      </c>
      <c r="D13" s="5">
        <v>181</v>
      </c>
      <c r="E13" s="19">
        <f t="shared" si="0"/>
        <v>2.6907248094147422</v>
      </c>
      <c r="F13" s="19">
        <f t="shared" si="2"/>
        <v>0.23308366392584068</v>
      </c>
      <c r="G13" s="21">
        <f t="shared" si="1"/>
        <v>2.3308366392584068E-3</v>
      </c>
    </row>
    <row r="14" spans="2:8" x14ac:dyDescent="0.25">
      <c r="B14" s="49"/>
      <c r="C14" s="5">
        <v>7</v>
      </c>
      <c r="D14" s="5">
        <v>212</v>
      </c>
      <c r="E14" s="19">
        <f t="shared" si="0"/>
        <v>2.9120439557122073</v>
      </c>
      <c r="F14" s="19">
        <f t="shared" si="2"/>
        <v>0.22131914629746507</v>
      </c>
      <c r="G14" s="21">
        <f t="shared" si="1"/>
        <v>2.2131914629746506E-3</v>
      </c>
    </row>
    <row r="15" spans="2:8" x14ac:dyDescent="0.25">
      <c r="B15" s="49"/>
      <c r="C15" s="5">
        <v>8</v>
      </c>
      <c r="D15" s="5">
        <v>243</v>
      </c>
      <c r="E15" s="19">
        <f t="shared" si="0"/>
        <v>3.1176914536239795</v>
      </c>
      <c r="F15" s="19">
        <f t="shared" si="2"/>
        <v>0.20564749791177217</v>
      </c>
      <c r="G15" s="21">
        <f t="shared" si="1"/>
        <v>2.0564749791177218E-3</v>
      </c>
    </row>
    <row r="16" spans="2:8" x14ac:dyDescent="0.25">
      <c r="B16" s="49"/>
      <c r="C16" s="5">
        <v>9</v>
      </c>
      <c r="D16" s="5">
        <v>273</v>
      </c>
      <c r="E16" s="19">
        <f t="shared" si="0"/>
        <v>3.3045423283716611</v>
      </c>
      <c r="F16" s="19">
        <f t="shared" si="2"/>
        <v>0.18685087474768158</v>
      </c>
      <c r="G16" s="21">
        <f t="shared" si="1"/>
        <v>1.8685087474768157E-3</v>
      </c>
    </row>
    <row r="17" spans="2:7" x14ac:dyDescent="0.25">
      <c r="B17" s="49"/>
      <c r="C17" s="5">
        <v>10</v>
      </c>
      <c r="D17" s="5">
        <v>304</v>
      </c>
      <c r="E17" s="19">
        <f t="shared" si="0"/>
        <v>3.4871191548325395</v>
      </c>
      <c r="F17" s="19">
        <f t="shared" si="2"/>
        <v>0.18257682646087847</v>
      </c>
      <c r="G17" s="21">
        <f t="shared" si="1"/>
        <v>1.8257682646087847E-3</v>
      </c>
    </row>
    <row r="18" spans="2:7" x14ac:dyDescent="0.25">
      <c r="B18" s="49"/>
      <c r="C18" s="5">
        <v>11</v>
      </c>
      <c r="D18" s="5">
        <v>334</v>
      </c>
      <c r="E18" s="19">
        <f t="shared" si="0"/>
        <v>3.6551333764994136</v>
      </c>
      <c r="F18" s="19">
        <f t="shared" si="2"/>
        <v>0.16801422166687408</v>
      </c>
      <c r="G18" s="21">
        <f t="shared" si="1"/>
        <v>1.6801422166687408E-3</v>
      </c>
    </row>
    <row r="19" spans="2:7" x14ac:dyDescent="0.25">
      <c r="B19" s="49"/>
      <c r="C19" s="5">
        <v>12</v>
      </c>
      <c r="D19" s="5">
        <v>365</v>
      </c>
      <c r="E19" s="19">
        <f t="shared" si="0"/>
        <v>3.8209946349085602</v>
      </c>
      <c r="F19" s="19">
        <f t="shared" si="2"/>
        <v>0.16586125840914656</v>
      </c>
      <c r="G19" s="21">
        <f t="shared" si="1"/>
        <v>1.6586125840914656E-3</v>
      </c>
    </row>
    <row r="20" spans="2:7" x14ac:dyDescent="0.25">
      <c r="B20" s="49">
        <v>2</v>
      </c>
      <c r="C20" s="5">
        <v>1</v>
      </c>
      <c r="D20" s="5">
        <v>396</v>
      </c>
      <c r="E20" s="19">
        <f t="shared" si="0"/>
        <v>3.9799497484264799</v>
      </c>
      <c r="F20" s="19">
        <f t="shared" si="2"/>
        <v>0.15895511351791969</v>
      </c>
      <c r="G20" s="21">
        <f t="shared" si="1"/>
        <v>1.5895511351791969E-3</v>
      </c>
    </row>
    <row r="21" spans="2:7" x14ac:dyDescent="0.25">
      <c r="B21" s="49"/>
      <c r="C21" s="5">
        <v>2</v>
      </c>
      <c r="D21" s="5">
        <v>424</v>
      </c>
      <c r="E21" s="19">
        <f t="shared" si="0"/>
        <v>4.1182520563948009</v>
      </c>
      <c r="F21" s="19">
        <f t="shared" si="2"/>
        <v>0.13830230796832099</v>
      </c>
      <c r="G21" s="21">
        <f t="shared" si="1"/>
        <v>1.3830230796832098E-3</v>
      </c>
    </row>
    <row r="22" spans="2:7" x14ac:dyDescent="0.25">
      <c r="B22" s="49"/>
      <c r="C22" s="5">
        <v>3</v>
      </c>
      <c r="D22" s="5">
        <v>455</v>
      </c>
      <c r="E22" s="19">
        <f t="shared" si="0"/>
        <v>4.2661458015403086</v>
      </c>
      <c r="F22" s="19">
        <f t="shared" si="2"/>
        <v>0.14789374514550779</v>
      </c>
      <c r="G22" s="21">
        <f t="shared" si="1"/>
        <v>1.478937451455078E-3</v>
      </c>
    </row>
    <row r="23" spans="2:7" x14ac:dyDescent="0.25">
      <c r="B23" s="49"/>
      <c r="C23" s="5">
        <v>4</v>
      </c>
      <c r="D23" s="5">
        <v>485</v>
      </c>
      <c r="E23" s="19">
        <f t="shared" si="0"/>
        <v>4.4045431091090483</v>
      </c>
      <c r="F23" s="19">
        <f t="shared" si="2"/>
        <v>0.13839730756873969</v>
      </c>
      <c r="G23" s="21">
        <f t="shared" si="1"/>
        <v>1.3839730756873968E-3</v>
      </c>
    </row>
    <row r="24" spans="2:7" x14ac:dyDescent="0.25">
      <c r="B24" s="49"/>
      <c r="C24" s="5">
        <v>5</v>
      </c>
      <c r="D24" s="5">
        <v>516</v>
      </c>
      <c r="E24" s="19">
        <f t="shared" si="0"/>
        <v>4.5431266766402194</v>
      </c>
      <c r="F24" s="19">
        <f t="shared" si="2"/>
        <v>0.13858356753117107</v>
      </c>
      <c r="G24" s="21">
        <f t="shared" si="1"/>
        <v>1.3858356753117106E-3</v>
      </c>
    </row>
    <row r="25" spans="2:7" x14ac:dyDescent="0.25">
      <c r="B25" s="49"/>
      <c r="C25" s="5">
        <v>6</v>
      </c>
      <c r="D25" s="5">
        <v>546</v>
      </c>
      <c r="E25" s="19">
        <f t="shared" si="0"/>
        <v>4.6733285782191691</v>
      </c>
      <c r="F25" s="19">
        <f t="shared" si="2"/>
        <v>0.13020190157894973</v>
      </c>
      <c r="G25" s="21">
        <f t="shared" si="1"/>
        <v>1.3020190157894973E-3</v>
      </c>
    </row>
    <row r="26" spans="2:7" x14ac:dyDescent="0.25">
      <c r="B26" s="49"/>
      <c r="C26" s="5">
        <v>7</v>
      </c>
      <c r="D26" s="5">
        <v>577</v>
      </c>
      <c r="E26" s="19">
        <f t="shared" si="0"/>
        <v>4.8041648597857254</v>
      </c>
      <c r="F26" s="19">
        <f t="shared" si="2"/>
        <v>0.13083628156655625</v>
      </c>
      <c r="G26" s="21">
        <f t="shared" si="1"/>
        <v>1.3083628156655624E-3</v>
      </c>
    </row>
    <row r="27" spans="2:7" x14ac:dyDescent="0.25">
      <c r="B27" s="49"/>
      <c r="C27" s="5">
        <v>8</v>
      </c>
      <c r="D27" s="5">
        <v>608</v>
      </c>
      <c r="E27" s="19">
        <f t="shared" si="0"/>
        <v>4.9315312023751812</v>
      </c>
      <c r="F27" s="19">
        <f t="shared" si="2"/>
        <v>0.12736634258945578</v>
      </c>
      <c r="G27" s="21">
        <f t="shared" si="1"/>
        <v>1.2736634258945579E-3</v>
      </c>
    </row>
    <row r="28" spans="2:7" x14ac:dyDescent="0.25">
      <c r="B28" s="49"/>
      <c r="C28" s="5">
        <v>9</v>
      </c>
      <c r="D28" s="5">
        <v>638</v>
      </c>
      <c r="E28" s="19">
        <f t="shared" si="0"/>
        <v>5.0517323761260364</v>
      </c>
      <c r="F28" s="19">
        <f t="shared" si="2"/>
        <v>0.12020117375085526</v>
      </c>
      <c r="G28" s="21">
        <f t="shared" si="1"/>
        <v>1.2020117375085527E-3</v>
      </c>
    </row>
    <row r="29" spans="2:7" x14ac:dyDescent="0.25">
      <c r="B29" s="49"/>
      <c r="C29" s="5">
        <v>10</v>
      </c>
      <c r="D29" s="5">
        <v>669</v>
      </c>
      <c r="E29" s="19">
        <f t="shared" si="0"/>
        <v>5.1730068625510253</v>
      </c>
      <c r="F29" s="19">
        <f t="shared" si="2"/>
        <v>0.12127448642498884</v>
      </c>
      <c r="G29" s="21">
        <f t="shared" si="1"/>
        <v>1.2127448642498884E-3</v>
      </c>
    </row>
    <row r="30" spans="2:7" x14ac:dyDescent="0.25">
      <c r="B30" s="49"/>
      <c r="C30" s="5">
        <v>11</v>
      </c>
      <c r="D30" s="5">
        <v>699</v>
      </c>
      <c r="E30" s="19">
        <f t="shared" si="0"/>
        <v>5.2877216265609146</v>
      </c>
      <c r="F30" s="19">
        <f t="shared" si="2"/>
        <v>0.11471476400988934</v>
      </c>
      <c r="G30" s="21">
        <f t="shared" si="1"/>
        <v>1.1471476400988934E-3</v>
      </c>
    </row>
    <row r="31" spans="2:7" x14ac:dyDescent="0.25">
      <c r="B31" s="49"/>
      <c r="C31" s="5">
        <v>12</v>
      </c>
      <c r="D31" s="5">
        <v>730</v>
      </c>
      <c r="E31" s="19">
        <f t="shared" si="0"/>
        <v>5.4037024344425184</v>
      </c>
      <c r="F31" s="19">
        <f t="shared" si="2"/>
        <v>0.11598080788160381</v>
      </c>
      <c r="G31" s="21">
        <f t="shared" si="1"/>
        <v>1.1598080788160381E-3</v>
      </c>
    </row>
    <row r="32" spans="2:7" x14ac:dyDescent="0.25">
      <c r="B32" s="49">
        <v>3</v>
      </c>
      <c r="C32" s="5">
        <v>1</v>
      </c>
      <c r="D32" s="5">
        <v>761</v>
      </c>
      <c r="E32" s="19">
        <f t="shared" si="0"/>
        <v>5.5172456896534889</v>
      </c>
      <c r="F32" s="19">
        <f t="shared" si="2"/>
        <v>0.11354325521097053</v>
      </c>
      <c r="G32" s="21">
        <f t="shared" si="1"/>
        <v>1.1354325521097052E-3</v>
      </c>
    </row>
    <row r="33" spans="2:7" x14ac:dyDescent="0.25">
      <c r="B33" s="49"/>
      <c r="C33" s="5">
        <v>2</v>
      </c>
      <c r="D33" s="5">
        <v>789</v>
      </c>
      <c r="E33" s="19">
        <f t="shared" si="0"/>
        <v>5.6178287620752556</v>
      </c>
      <c r="F33" s="19">
        <f t="shared" si="2"/>
        <v>0.10058307242176667</v>
      </c>
      <c r="G33" s="21">
        <f t="shared" si="1"/>
        <v>1.0058307242176668E-3</v>
      </c>
    </row>
    <row r="34" spans="2:7" x14ac:dyDescent="0.25">
      <c r="B34" s="49"/>
      <c r="C34" s="5">
        <v>3</v>
      </c>
      <c r="D34" s="5">
        <v>820</v>
      </c>
      <c r="E34" s="19">
        <f t="shared" si="0"/>
        <v>5.7271284253105419</v>
      </c>
      <c r="F34" s="19">
        <f t="shared" si="2"/>
        <v>0.10929966323528628</v>
      </c>
      <c r="G34" s="21">
        <f t="shared" si="1"/>
        <v>1.0929966323528627E-3</v>
      </c>
    </row>
    <row r="35" spans="2:7" x14ac:dyDescent="0.25">
      <c r="B35" s="49"/>
      <c r="C35" s="5">
        <v>4</v>
      </c>
      <c r="D35" s="5">
        <v>850</v>
      </c>
      <c r="E35" s="19">
        <f t="shared" si="0"/>
        <v>5.8309518948453007</v>
      </c>
      <c r="F35" s="19">
        <f t="shared" si="2"/>
        <v>0.10382346953475885</v>
      </c>
      <c r="G35" s="21">
        <f t="shared" si="1"/>
        <v>1.0382346953475884E-3</v>
      </c>
    </row>
    <row r="36" spans="2:7" x14ac:dyDescent="0.25">
      <c r="B36" s="49"/>
      <c r="C36" s="5">
        <v>5</v>
      </c>
      <c r="D36" s="5">
        <v>881</v>
      </c>
      <c r="E36" s="19">
        <f t="shared" si="0"/>
        <v>5.9363288318623324</v>
      </c>
      <c r="F36" s="19">
        <f t="shared" si="2"/>
        <v>0.10537693701703166</v>
      </c>
      <c r="G36" s="21">
        <f t="shared" si="1"/>
        <v>1.0537693701703167E-3</v>
      </c>
    </row>
    <row r="37" spans="2:7" x14ac:dyDescent="0.25">
      <c r="B37" s="49"/>
      <c r="C37" s="5">
        <v>6</v>
      </c>
      <c r="D37" s="5">
        <v>911</v>
      </c>
      <c r="E37" s="19">
        <f t="shared" si="0"/>
        <v>6.0365553091146289</v>
      </c>
      <c r="F37" s="19">
        <f t="shared" si="2"/>
        <v>0.1002264772522965</v>
      </c>
      <c r="G37" s="21">
        <f t="shared" si="1"/>
        <v>1.002264772522965E-3</v>
      </c>
    </row>
    <row r="38" spans="2:7" x14ac:dyDescent="0.25">
      <c r="B38" s="49"/>
      <c r="C38" s="5">
        <v>7</v>
      </c>
      <c r="D38" s="5">
        <v>942</v>
      </c>
      <c r="E38" s="19">
        <f t="shared" si="0"/>
        <v>6.138403701289123</v>
      </c>
      <c r="F38" s="19">
        <f t="shared" si="2"/>
        <v>0.10184839217449415</v>
      </c>
      <c r="G38" s="21">
        <f t="shared" si="1"/>
        <v>1.0184839217449416E-3</v>
      </c>
    </row>
    <row r="39" spans="2:7" x14ac:dyDescent="0.25">
      <c r="B39" s="49"/>
      <c r="C39" s="5">
        <v>8</v>
      </c>
      <c r="D39" s="5">
        <v>973</v>
      </c>
      <c r="E39" s="19">
        <f t="shared" si="0"/>
        <v>6.2385895841928889</v>
      </c>
      <c r="F39" s="19">
        <f t="shared" si="2"/>
        <v>0.10018588290376584</v>
      </c>
      <c r="G39" s="21">
        <f t="shared" si="1"/>
        <v>1.0018588290376584E-3</v>
      </c>
    </row>
    <row r="40" spans="2:7" x14ac:dyDescent="0.25">
      <c r="B40" s="49"/>
      <c r="C40" s="5">
        <v>9</v>
      </c>
      <c r="D40" s="5">
        <v>1003</v>
      </c>
      <c r="E40" s="19">
        <f t="shared" ref="E40:E67" si="3">$E$3*SQRT(D40)</f>
        <v>6.334035048845247</v>
      </c>
      <c r="F40" s="19">
        <f t="shared" si="2"/>
        <v>9.5445464652358147E-2</v>
      </c>
      <c r="G40" s="21">
        <f t="shared" si="1"/>
        <v>9.544546465235815E-4</v>
      </c>
    </row>
    <row r="41" spans="2:7" x14ac:dyDescent="0.25">
      <c r="B41" s="49"/>
      <c r="C41" s="5">
        <v>10</v>
      </c>
      <c r="D41" s="5">
        <v>1034</v>
      </c>
      <c r="E41" s="19">
        <f t="shared" si="3"/>
        <v>6.4311740763254113</v>
      </c>
      <c r="F41" s="19">
        <f t="shared" si="2"/>
        <v>9.7139027480164231E-2</v>
      </c>
      <c r="G41" s="21">
        <f t="shared" si="1"/>
        <v>9.7139027480164231E-4</v>
      </c>
    </row>
    <row r="42" spans="2:7" x14ac:dyDescent="0.25">
      <c r="B42" s="49"/>
      <c r="C42" s="5">
        <v>11</v>
      </c>
      <c r="D42" s="5">
        <v>1064</v>
      </c>
      <c r="E42" s="19">
        <f t="shared" si="3"/>
        <v>6.5238025721200366</v>
      </c>
      <c r="F42" s="19">
        <f t="shared" si="2"/>
        <v>9.2628495794625287E-2</v>
      </c>
      <c r="G42" s="21">
        <f t="shared" si="1"/>
        <v>9.262849579462529E-4</v>
      </c>
    </row>
    <row r="43" spans="2:7" x14ac:dyDescent="0.25">
      <c r="B43" s="49"/>
      <c r="C43" s="5">
        <v>12</v>
      </c>
      <c r="D43" s="5">
        <v>1095</v>
      </c>
      <c r="E43" s="19">
        <f t="shared" si="3"/>
        <v>6.6181568431097197</v>
      </c>
      <c r="F43" s="19">
        <f t="shared" si="2"/>
        <v>9.4354270989683187E-2</v>
      </c>
      <c r="G43" s="21">
        <f t="shared" si="1"/>
        <v>9.4354270989683187E-4</v>
      </c>
    </row>
    <row r="44" spans="2:7" x14ac:dyDescent="0.25">
      <c r="B44" s="49">
        <v>4</v>
      </c>
      <c r="C44" s="5">
        <v>1</v>
      </c>
      <c r="D44" s="5">
        <v>1126</v>
      </c>
      <c r="E44" s="19">
        <f t="shared" si="3"/>
        <v>6.7111846942250075</v>
      </c>
      <c r="F44" s="19">
        <f t="shared" si="2"/>
        <v>9.3027851115287774E-2</v>
      </c>
      <c r="G44" s="21">
        <f t="shared" si="1"/>
        <v>9.3027851115287771E-4</v>
      </c>
    </row>
    <row r="45" spans="2:7" x14ac:dyDescent="0.25">
      <c r="B45" s="49"/>
      <c r="C45" s="5">
        <v>2</v>
      </c>
      <c r="D45" s="5">
        <v>1154</v>
      </c>
      <c r="E45" s="19">
        <f t="shared" si="3"/>
        <v>6.7941151005852127</v>
      </c>
      <c r="F45" s="19">
        <f t="shared" si="2"/>
        <v>8.2930406360205211E-2</v>
      </c>
      <c r="G45" s="21">
        <f t="shared" si="1"/>
        <v>8.2930406360205212E-4</v>
      </c>
    </row>
    <row r="46" spans="2:7" x14ac:dyDescent="0.25">
      <c r="B46" s="49"/>
      <c r="C46" s="5">
        <v>3</v>
      </c>
      <c r="D46" s="5">
        <v>1185</v>
      </c>
      <c r="E46" s="19">
        <f t="shared" si="3"/>
        <v>6.884765791223403</v>
      </c>
      <c r="F46" s="19">
        <f t="shared" si="2"/>
        <v>9.0650690638190312E-2</v>
      </c>
      <c r="G46" s="21">
        <f t="shared" si="1"/>
        <v>9.0650690638190308E-4</v>
      </c>
    </row>
    <row r="47" spans="2:7" x14ac:dyDescent="0.25">
      <c r="B47" s="49"/>
      <c r="C47" s="5">
        <v>4</v>
      </c>
      <c r="D47" s="5">
        <v>1215</v>
      </c>
      <c r="E47" s="19">
        <f t="shared" si="3"/>
        <v>6.9713700231733498</v>
      </c>
      <c r="F47" s="19">
        <f t="shared" si="2"/>
        <v>8.6604231949946708E-2</v>
      </c>
      <c r="G47" s="21">
        <f t="shared" si="1"/>
        <v>8.6604231949946706E-4</v>
      </c>
    </row>
    <row r="48" spans="2:7" x14ac:dyDescent="0.25">
      <c r="B48" s="49"/>
      <c r="C48" s="5">
        <v>5</v>
      </c>
      <c r="D48" s="5">
        <v>1246</v>
      </c>
      <c r="E48" s="19">
        <f t="shared" si="3"/>
        <v>7.0597450378891171</v>
      </c>
      <c r="F48" s="19">
        <f t="shared" si="2"/>
        <v>8.8375014715767364E-2</v>
      </c>
      <c r="G48" s="21">
        <f t="shared" si="1"/>
        <v>8.8375014715767362E-4</v>
      </c>
    </row>
    <row r="49" spans="2:7" x14ac:dyDescent="0.25">
      <c r="B49" s="49"/>
      <c r="C49" s="5">
        <v>6</v>
      </c>
      <c r="D49" s="5">
        <v>1276</v>
      </c>
      <c r="E49" s="19">
        <f t="shared" si="3"/>
        <v>7.1442284397967004</v>
      </c>
      <c r="F49" s="19">
        <f t="shared" si="2"/>
        <v>8.44834019075833E-2</v>
      </c>
      <c r="G49" s="21">
        <f t="shared" si="1"/>
        <v>8.4483401907583296E-4</v>
      </c>
    </row>
    <row r="50" spans="2:7" x14ac:dyDescent="0.25">
      <c r="B50" s="49"/>
      <c r="C50" s="5">
        <v>7</v>
      </c>
      <c r="D50" s="5">
        <v>1307</v>
      </c>
      <c r="E50" s="19">
        <f t="shared" si="3"/>
        <v>7.230490993010088</v>
      </c>
      <c r="F50" s="19">
        <f t="shared" si="2"/>
        <v>8.6262553213387605E-2</v>
      </c>
      <c r="G50" s="21">
        <f t="shared" si="1"/>
        <v>8.6262553213387603E-4</v>
      </c>
    </row>
    <row r="51" spans="2:7" x14ac:dyDescent="0.25">
      <c r="B51" s="49"/>
      <c r="C51" s="5">
        <v>8</v>
      </c>
      <c r="D51" s="5">
        <v>1338</v>
      </c>
      <c r="E51" s="19">
        <f t="shared" si="3"/>
        <v>7.3157364632687534</v>
      </c>
      <c r="F51" s="19">
        <f t="shared" si="2"/>
        <v>8.5245470258665357E-2</v>
      </c>
      <c r="G51" s="21">
        <f t="shared" si="1"/>
        <v>8.5245470258665356E-4</v>
      </c>
    </row>
    <row r="52" spans="2:7" x14ac:dyDescent="0.25">
      <c r="B52" s="49"/>
      <c r="C52" s="5">
        <v>9</v>
      </c>
      <c r="D52" s="5">
        <v>1368</v>
      </c>
      <c r="E52" s="19">
        <f t="shared" si="3"/>
        <v>7.3972968035627717</v>
      </c>
      <c r="F52" s="19">
        <f t="shared" si="2"/>
        <v>8.1560340294018374E-2</v>
      </c>
      <c r="G52" s="21">
        <f t="shared" si="1"/>
        <v>8.1560340294018375E-4</v>
      </c>
    </row>
    <row r="53" spans="2:7" x14ac:dyDescent="0.25">
      <c r="B53" s="49"/>
      <c r="C53" s="5">
        <v>10</v>
      </c>
      <c r="D53" s="5">
        <v>1399</v>
      </c>
      <c r="E53" s="19">
        <f t="shared" si="3"/>
        <v>7.4806416837060175</v>
      </c>
      <c r="F53" s="19">
        <f t="shared" si="2"/>
        <v>8.3344880143245703E-2</v>
      </c>
      <c r="G53" s="21">
        <f t="shared" si="1"/>
        <v>8.3344880143245705E-4</v>
      </c>
    </row>
    <row r="54" spans="2:7" x14ac:dyDescent="0.25">
      <c r="B54" s="49"/>
      <c r="C54" s="5">
        <v>11</v>
      </c>
      <c r="D54" s="5">
        <v>1429</v>
      </c>
      <c r="E54" s="19">
        <f t="shared" si="3"/>
        <v>7.5604232685743202</v>
      </c>
      <c r="F54" s="19">
        <f t="shared" si="2"/>
        <v>7.978158486830278E-2</v>
      </c>
      <c r="G54" s="21">
        <f t="shared" si="1"/>
        <v>7.9781584868302783E-4</v>
      </c>
    </row>
    <row r="55" spans="2:7" x14ac:dyDescent="0.25">
      <c r="B55" s="49"/>
      <c r="C55" s="5">
        <v>12</v>
      </c>
      <c r="D55" s="5">
        <v>1460</v>
      </c>
      <c r="E55" s="19">
        <f t="shared" si="3"/>
        <v>7.6419892698171203</v>
      </c>
      <c r="F55" s="19">
        <f t="shared" si="2"/>
        <v>8.1566001242800112E-2</v>
      </c>
      <c r="G55" s="21">
        <f t="shared" si="1"/>
        <v>8.1566001242800107E-4</v>
      </c>
    </row>
    <row r="56" spans="2:7" x14ac:dyDescent="0.25">
      <c r="B56" s="49">
        <v>5</v>
      </c>
      <c r="C56" s="5">
        <v>1</v>
      </c>
      <c r="D56" s="5">
        <v>1491</v>
      </c>
      <c r="E56" s="19">
        <f t="shared" si="3"/>
        <v>7.722693830523129</v>
      </c>
      <c r="F56" s="19">
        <f t="shared" si="2"/>
        <v>8.0704560706008621E-2</v>
      </c>
      <c r="G56" s="21">
        <f t="shared" si="1"/>
        <v>8.0704560706008617E-4</v>
      </c>
    </row>
    <row r="57" spans="2:7" x14ac:dyDescent="0.25">
      <c r="B57" s="49"/>
      <c r="C57" s="5">
        <v>2</v>
      </c>
      <c r="D57" s="5">
        <v>1519</v>
      </c>
      <c r="E57" s="19">
        <f t="shared" si="3"/>
        <v>7.7948701079620308</v>
      </c>
      <c r="F57" s="19">
        <f t="shared" si="2"/>
        <v>7.217627743890187E-2</v>
      </c>
      <c r="G57" s="21">
        <f t="shared" si="1"/>
        <v>7.2176277438901865E-4</v>
      </c>
    </row>
    <row r="58" spans="2:7" x14ac:dyDescent="0.25">
      <c r="B58" s="49"/>
      <c r="C58" s="5">
        <v>3</v>
      </c>
      <c r="D58" s="5">
        <v>1550</v>
      </c>
      <c r="E58" s="19">
        <f t="shared" si="3"/>
        <v>7.8740078740118111</v>
      </c>
      <c r="F58" s="19">
        <f t="shared" si="2"/>
        <v>7.9137766049780289E-2</v>
      </c>
      <c r="G58" s="21">
        <f t="shared" si="1"/>
        <v>7.9137766049780294E-4</v>
      </c>
    </row>
    <row r="59" spans="2:7" x14ac:dyDescent="0.25">
      <c r="B59" s="49"/>
      <c r="C59" s="5">
        <v>4</v>
      </c>
      <c r="D59" s="5">
        <v>1580</v>
      </c>
      <c r="E59" s="19">
        <f t="shared" si="3"/>
        <v>7.9498427657407165</v>
      </c>
      <c r="F59" s="19">
        <f t="shared" si="2"/>
        <v>7.583489172890534E-2</v>
      </c>
      <c r="G59" s="21">
        <f t="shared" si="1"/>
        <v>7.5834891728905336E-4</v>
      </c>
    </row>
    <row r="60" spans="2:7" x14ac:dyDescent="0.25">
      <c r="B60" s="49"/>
      <c r="C60" s="5">
        <v>5</v>
      </c>
      <c r="D60" s="5">
        <v>1611</v>
      </c>
      <c r="E60" s="19">
        <f t="shared" si="3"/>
        <v>8.0274528961557916</v>
      </c>
      <c r="F60" s="19">
        <f t="shared" si="2"/>
        <v>7.761013041507514E-2</v>
      </c>
      <c r="G60" s="21">
        <f t="shared" si="1"/>
        <v>7.7610130415075142E-4</v>
      </c>
    </row>
    <row r="61" spans="2:7" x14ac:dyDescent="0.25">
      <c r="B61" s="49"/>
      <c r="C61" s="5">
        <v>6</v>
      </c>
      <c r="D61" s="5">
        <v>1641</v>
      </c>
      <c r="E61" s="19">
        <f t="shared" si="3"/>
        <v>8.1018516402116383</v>
      </c>
      <c r="F61" s="19">
        <f t="shared" si="2"/>
        <v>7.4398744055846677E-2</v>
      </c>
      <c r="G61" s="21">
        <f t="shared" si="1"/>
        <v>7.4398744055846676E-4</v>
      </c>
    </row>
    <row r="62" spans="2:7" x14ac:dyDescent="0.25">
      <c r="B62" s="49"/>
      <c r="C62" s="5">
        <v>7</v>
      </c>
      <c r="D62" s="5">
        <v>1672</v>
      </c>
      <c r="E62" s="19">
        <f t="shared" si="3"/>
        <v>8.1780193201043492</v>
      </c>
      <c r="F62" s="19">
        <f t="shared" si="2"/>
        <v>7.6167679892710893E-2</v>
      </c>
      <c r="G62" s="21">
        <f t="shared" si="1"/>
        <v>7.6167679892710891E-4</v>
      </c>
    </row>
    <row r="63" spans="2:7" x14ac:dyDescent="0.25">
      <c r="B63" s="49"/>
      <c r="C63" s="5">
        <v>8</v>
      </c>
      <c r="D63" s="5">
        <v>1703</v>
      </c>
      <c r="E63" s="19">
        <f t="shared" si="3"/>
        <v>8.2534841127853404</v>
      </c>
      <c r="F63" s="19">
        <f t="shared" si="2"/>
        <v>7.5464792680991266E-2</v>
      </c>
      <c r="G63" s="21">
        <f t="shared" si="1"/>
        <v>7.5464792680991267E-4</v>
      </c>
    </row>
    <row r="64" spans="2:7" x14ac:dyDescent="0.25">
      <c r="B64" s="49"/>
      <c r="C64" s="5">
        <v>9</v>
      </c>
      <c r="D64" s="5">
        <v>1733</v>
      </c>
      <c r="E64" s="19">
        <f t="shared" si="3"/>
        <v>8.3258633185994597</v>
      </c>
      <c r="F64" s="19">
        <f t="shared" si="2"/>
        <v>7.2379205814119274E-2</v>
      </c>
      <c r="G64" s="21">
        <f t="shared" si="1"/>
        <v>7.2379205814119272E-4</v>
      </c>
    </row>
    <row r="65" spans="2:7" x14ac:dyDescent="0.25">
      <c r="B65" s="49"/>
      <c r="C65" s="5">
        <v>10</v>
      </c>
      <c r="D65" s="5">
        <v>1764</v>
      </c>
      <c r="E65" s="19">
        <f t="shared" si="3"/>
        <v>8.4</v>
      </c>
      <c r="F65" s="19">
        <f t="shared" si="2"/>
        <v>7.4136681400540638E-2</v>
      </c>
      <c r="G65" s="21">
        <f t="shared" si="1"/>
        <v>7.413668140054064E-4</v>
      </c>
    </row>
    <row r="66" spans="2:7" x14ac:dyDescent="0.25">
      <c r="B66" s="49"/>
      <c r="C66" s="5">
        <v>11</v>
      </c>
      <c r="D66" s="5">
        <v>1794</v>
      </c>
      <c r="E66" s="19">
        <f t="shared" si="3"/>
        <v>8.4711274338189479</v>
      </c>
      <c r="F66" s="19">
        <f t="shared" si="2"/>
        <v>7.1127433818947594E-2</v>
      </c>
      <c r="G66" s="21">
        <f t="shared" si="1"/>
        <v>7.112743381894759E-4</v>
      </c>
    </row>
    <row r="67" spans="2:7" x14ac:dyDescent="0.25">
      <c r="B67" s="49"/>
      <c r="C67" s="5">
        <v>12</v>
      </c>
      <c r="D67" s="5">
        <v>1825</v>
      </c>
      <c r="E67" s="19">
        <f t="shared" si="3"/>
        <v>8.5440037453175304</v>
      </c>
      <c r="F67" s="19">
        <f t="shared" si="2"/>
        <v>7.2876311498582425E-2</v>
      </c>
      <c r="G67" s="21">
        <f t="shared" si="1"/>
        <v>7.2876311498582425E-4</v>
      </c>
    </row>
  </sheetData>
  <mergeCells count="10">
    <mergeCell ref="B8:B19"/>
    <mergeCell ref="B20:B31"/>
    <mergeCell ref="B32:B43"/>
    <mergeCell ref="B44:B55"/>
    <mergeCell ref="B56:B67"/>
    <mergeCell ref="B5:D5"/>
    <mergeCell ref="G3:H5"/>
    <mergeCell ref="B3:D3"/>
    <mergeCell ref="B2:F2"/>
    <mergeCell ref="G2:H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6DB6E-72CE-42D4-A9AF-4002C2F3F302}">
  <dimension ref="B1:H66"/>
  <sheetViews>
    <sheetView showGridLines="0" workbookViewId="0">
      <selection activeCell="G3" sqref="G3:H4"/>
    </sheetView>
  </sheetViews>
  <sheetFormatPr defaultRowHeight="12.5" x14ac:dyDescent="0.25"/>
  <cols>
    <col min="1" max="1" width="3.453125" style="18" customWidth="1"/>
    <col min="2" max="2" width="10.6328125" style="18" customWidth="1"/>
    <col min="3" max="4" width="10.6328125" style="20" customWidth="1"/>
    <col min="5" max="7" width="18.6328125" style="18" customWidth="1"/>
    <col min="8" max="8" width="53.453125" style="18" customWidth="1"/>
    <col min="9" max="16384" width="8.7265625" style="18"/>
  </cols>
  <sheetData>
    <row r="1" spans="2:8" x14ac:dyDescent="0.25">
      <c r="C1" s="18"/>
      <c r="D1" s="18"/>
    </row>
    <row r="2" spans="2:8" x14ac:dyDescent="0.25">
      <c r="B2" s="63" t="s">
        <v>24</v>
      </c>
      <c r="C2" s="63"/>
      <c r="D2" s="63"/>
      <c r="E2" s="63"/>
      <c r="F2" s="63"/>
      <c r="G2" s="63" t="s">
        <v>22</v>
      </c>
      <c r="H2" s="63"/>
    </row>
    <row r="3" spans="2:8" ht="22.5" customHeight="1" x14ac:dyDescent="0.25">
      <c r="B3" s="66" t="s">
        <v>20</v>
      </c>
      <c r="C3" s="67"/>
      <c r="D3" s="67"/>
      <c r="E3" s="38">
        <f>E4/(SQRT(365))</f>
        <v>5.234239225902138E-3</v>
      </c>
      <c r="F3" s="39" t="s">
        <v>19</v>
      </c>
      <c r="G3" s="68" t="s">
        <v>23</v>
      </c>
      <c r="H3" s="69"/>
    </row>
    <row r="4" spans="2:8" ht="43" customHeight="1" x14ac:dyDescent="0.25">
      <c r="B4" s="64" t="s">
        <v>35</v>
      </c>
      <c r="C4" s="65"/>
      <c r="D4" s="65"/>
      <c r="E4" s="40">
        <v>0.1</v>
      </c>
      <c r="F4" s="41" t="s">
        <v>36</v>
      </c>
      <c r="G4" s="70"/>
      <c r="H4" s="71"/>
    </row>
    <row r="5" spans="2:8" ht="19.5" customHeight="1" x14ac:dyDescent="0.25"/>
    <row r="6" spans="2:8" ht="31" x14ac:dyDescent="0.25">
      <c r="B6" s="35" t="s">
        <v>14</v>
      </c>
      <c r="C6" s="35" t="s">
        <v>15</v>
      </c>
      <c r="D6" s="35" t="s">
        <v>2</v>
      </c>
      <c r="E6" s="35" t="s">
        <v>16</v>
      </c>
      <c r="F6" s="35" t="s">
        <v>17</v>
      </c>
      <c r="G6" s="35" t="s">
        <v>18</v>
      </c>
    </row>
    <row r="7" spans="2:8" x14ac:dyDescent="0.25">
      <c r="B7" s="49">
        <v>1</v>
      </c>
      <c r="C7" s="34">
        <v>1</v>
      </c>
      <c r="D7" s="34">
        <v>31</v>
      </c>
      <c r="E7" s="19">
        <f t="shared" ref="E7:E38" si="0">$E$3*SQRT(D7)</f>
        <v>2.9143010628504922E-2</v>
      </c>
      <c r="F7" s="19">
        <f>E7</f>
        <v>2.9143010628504922E-2</v>
      </c>
      <c r="G7" s="21">
        <f>F7/100</f>
        <v>2.914301062850492E-4</v>
      </c>
    </row>
    <row r="8" spans="2:8" x14ac:dyDescent="0.25">
      <c r="B8" s="49"/>
      <c r="C8" s="34">
        <v>2</v>
      </c>
      <c r="D8" s="34">
        <v>59</v>
      </c>
      <c r="E8" s="19">
        <f t="shared" si="0"/>
        <v>4.0204954373365284E-2</v>
      </c>
      <c r="F8" s="19">
        <f>E8-E7</f>
        <v>1.1061943744860362E-2</v>
      </c>
      <c r="G8" s="21">
        <f t="shared" ref="G8:G66" si="1">F8/100</f>
        <v>1.1061943744860362E-4</v>
      </c>
    </row>
    <row r="9" spans="2:8" x14ac:dyDescent="0.25">
      <c r="B9" s="49"/>
      <c r="C9" s="34">
        <v>3</v>
      </c>
      <c r="D9" s="34">
        <v>90</v>
      </c>
      <c r="E9" s="19">
        <f t="shared" si="0"/>
        <v>4.9656353316142085E-2</v>
      </c>
      <c r="F9" s="19">
        <f t="shared" ref="F9:F66" si="2">E9-E8</f>
        <v>9.4513989427768008E-3</v>
      </c>
      <c r="G9" s="21">
        <f t="shared" si="1"/>
        <v>9.451398942776801E-5</v>
      </c>
    </row>
    <row r="10" spans="2:8" x14ac:dyDescent="0.25">
      <c r="B10" s="49"/>
      <c r="C10" s="34">
        <v>4</v>
      </c>
      <c r="D10" s="34">
        <v>120</v>
      </c>
      <c r="E10" s="19">
        <f t="shared" si="0"/>
        <v>5.7338217908099599E-2</v>
      </c>
      <c r="F10" s="19">
        <f t="shared" si="2"/>
        <v>7.6818645919575143E-3</v>
      </c>
      <c r="G10" s="21">
        <f t="shared" si="1"/>
        <v>7.6818645919575146E-5</v>
      </c>
    </row>
    <row r="11" spans="2:8" x14ac:dyDescent="0.25">
      <c r="B11" s="49"/>
      <c r="C11" s="34">
        <v>5</v>
      </c>
      <c r="D11" s="34">
        <v>151</v>
      </c>
      <c r="E11" s="19">
        <f t="shared" si="0"/>
        <v>6.4319408434545366E-2</v>
      </c>
      <c r="F11" s="19">
        <f t="shared" si="2"/>
        <v>6.9811905264457672E-3</v>
      </c>
      <c r="G11" s="21">
        <f t="shared" si="1"/>
        <v>6.9811905264457674E-5</v>
      </c>
    </row>
    <row r="12" spans="2:8" x14ac:dyDescent="0.25">
      <c r="B12" s="49"/>
      <c r="C12" s="34">
        <v>6</v>
      </c>
      <c r="D12" s="34">
        <v>181</v>
      </c>
      <c r="E12" s="19">
        <f t="shared" si="0"/>
        <v>7.0419486717733487E-2</v>
      </c>
      <c r="F12" s="19">
        <f t="shared" si="2"/>
        <v>6.1000782831881206E-3</v>
      </c>
      <c r="G12" s="21">
        <f t="shared" si="1"/>
        <v>6.1000782831881206E-5</v>
      </c>
    </row>
    <row r="13" spans="2:8" x14ac:dyDescent="0.25">
      <c r="B13" s="49"/>
      <c r="C13" s="34">
        <v>7</v>
      </c>
      <c r="D13" s="34">
        <v>212</v>
      </c>
      <c r="E13" s="19">
        <f t="shared" si="0"/>
        <v>7.6211673502700319E-2</v>
      </c>
      <c r="F13" s="19">
        <f t="shared" si="2"/>
        <v>5.7921867849668324E-3</v>
      </c>
      <c r="G13" s="21">
        <f t="shared" si="1"/>
        <v>5.7921867849668326E-5</v>
      </c>
    </row>
    <row r="14" spans="2:8" x14ac:dyDescent="0.25">
      <c r="B14" s="49"/>
      <c r="C14" s="34">
        <v>8</v>
      </c>
      <c r="D14" s="34">
        <v>243</v>
      </c>
      <c r="E14" s="19">
        <f t="shared" si="0"/>
        <v>8.1593714504092446E-2</v>
      </c>
      <c r="F14" s="19">
        <f t="shared" si="2"/>
        <v>5.3820410013921266E-3</v>
      </c>
      <c r="G14" s="21">
        <f t="shared" si="1"/>
        <v>5.3820410013921269E-5</v>
      </c>
    </row>
    <row r="15" spans="2:8" x14ac:dyDescent="0.25">
      <c r="B15" s="49"/>
      <c r="C15" s="34">
        <v>9</v>
      </c>
      <c r="D15" s="34">
        <v>273</v>
      </c>
      <c r="E15" s="19">
        <f t="shared" si="0"/>
        <v>8.6483825394084654E-2</v>
      </c>
      <c r="F15" s="19">
        <f t="shared" si="2"/>
        <v>4.890110889992208E-3</v>
      </c>
      <c r="G15" s="21">
        <f t="shared" si="1"/>
        <v>4.8901108899922078E-5</v>
      </c>
    </row>
    <row r="16" spans="2:8" x14ac:dyDescent="0.25">
      <c r="B16" s="49"/>
      <c r="C16" s="34">
        <v>10</v>
      </c>
      <c r="D16" s="34">
        <v>304</v>
      </c>
      <c r="E16" s="19">
        <f t="shared" si="0"/>
        <v>9.1262079328095935E-2</v>
      </c>
      <c r="F16" s="19">
        <f t="shared" si="2"/>
        <v>4.7782539340112812E-3</v>
      </c>
      <c r="G16" s="21">
        <f t="shared" si="1"/>
        <v>4.7782539340112811E-5</v>
      </c>
    </row>
    <row r="17" spans="2:7" x14ac:dyDescent="0.25">
      <c r="B17" s="49"/>
      <c r="C17" s="34">
        <v>11</v>
      </c>
      <c r="D17" s="34">
        <v>334</v>
      </c>
      <c r="E17" s="19">
        <f t="shared" si="0"/>
        <v>9.5659212475886782E-2</v>
      </c>
      <c r="F17" s="19">
        <f t="shared" si="2"/>
        <v>4.3971331477908465E-3</v>
      </c>
      <c r="G17" s="21">
        <f t="shared" si="1"/>
        <v>4.3971331477908466E-5</v>
      </c>
    </row>
    <row r="18" spans="2:7" x14ac:dyDescent="0.25">
      <c r="B18" s="49"/>
      <c r="C18" s="34">
        <v>12</v>
      </c>
      <c r="D18" s="34">
        <v>365</v>
      </c>
      <c r="E18" s="19">
        <f t="shared" si="0"/>
        <v>0.10000000000000002</v>
      </c>
      <c r="F18" s="19">
        <f t="shared" si="2"/>
        <v>4.3407875241132376E-3</v>
      </c>
      <c r="G18" s="21">
        <f t="shared" si="1"/>
        <v>4.3407875241132377E-5</v>
      </c>
    </row>
    <row r="19" spans="2:7" x14ac:dyDescent="0.25">
      <c r="B19" s="49">
        <v>2</v>
      </c>
      <c r="C19" s="34">
        <v>1</v>
      </c>
      <c r="D19" s="34">
        <v>396</v>
      </c>
      <c r="E19" s="19">
        <f t="shared" si="0"/>
        <v>0.10416004545166613</v>
      </c>
      <c r="F19" s="19">
        <f t="shared" si="2"/>
        <v>4.1600454516661084E-3</v>
      </c>
      <c r="G19" s="21">
        <f t="shared" si="1"/>
        <v>4.1600454516661085E-5</v>
      </c>
    </row>
    <row r="20" spans="2:7" x14ac:dyDescent="0.25">
      <c r="B20" s="49"/>
      <c r="C20" s="34">
        <v>2</v>
      </c>
      <c r="D20" s="34">
        <v>424</v>
      </c>
      <c r="E20" s="19">
        <f t="shared" si="0"/>
        <v>0.10777958227866904</v>
      </c>
      <c r="F20" s="19">
        <f t="shared" si="2"/>
        <v>3.6195368270029171E-3</v>
      </c>
      <c r="G20" s="21">
        <f t="shared" si="1"/>
        <v>3.6195368270029172E-5</v>
      </c>
    </row>
    <row r="21" spans="2:7" x14ac:dyDescent="0.25">
      <c r="B21" s="49"/>
      <c r="C21" s="34">
        <v>3</v>
      </c>
      <c r="D21" s="34">
        <v>455</v>
      </c>
      <c r="E21" s="19">
        <f t="shared" si="0"/>
        <v>0.1116501384892</v>
      </c>
      <c r="F21" s="19">
        <f t="shared" si="2"/>
        <v>3.870556210530951E-3</v>
      </c>
      <c r="G21" s="21">
        <f t="shared" si="1"/>
        <v>3.8705562105309513E-5</v>
      </c>
    </row>
    <row r="22" spans="2:7" x14ac:dyDescent="0.25">
      <c r="B22" s="49"/>
      <c r="C22" s="34">
        <v>4</v>
      </c>
      <c r="D22" s="34">
        <v>485</v>
      </c>
      <c r="E22" s="19">
        <f t="shared" si="0"/>
        <v>0.1152721615693777</v>
      </c>
      <c r="F22" s="19">
        <f t="shared" si="2"/>
        <v>3.6220230801776998E-3</v>
      </c>
      <c r="G22" s="21">
        <f t="shared" si="1"/>
        <v>3.6220230801776998E-5</v>
      </c>
    </row>
    <row r="23" spans="2:7" x14ac:dyDescent="0.25">
      <c r="B23" s="49"/>
      <c r="C23" s="34">
        <v>5</v>
      </c>
      <c r="D23" s="34">
        <v>516</v>
      </c>
      <c r="E23" s="19">
        <f t="shared" si="0"/>
        <v>0.11889905929556326</v>
      </c>
      <c r="F23" s="19">
        <f t="shared" si="2"/>
        <v>3.6268977261855601E-3</v>
      </c>
      <c r="G23" s="21">
        <f t="shared" si="1"/>
        <v>3.6268977261855599E-5</v>
      </c>
    </row>
    <row r="24" spans="2:7" x14ac:dyDescent="0.25">
      <c r="B24" s="49"/>
      <c r="C24" s="34">
        <v>6</v>
      </c>
      <c r="D24" s="34">
        <v>546</v>
      </c>
      <c r="E24" s="19">
        <f t="shared" si="0"/>
        <v>0.12230659879822123</v>
      </c>
      <c r="F24" s="19">
        <f t="shared" si="2"/>
        <v>3.4075395026579719E-3</v>
      </c>
      <c r="G24" s="21">
        <f t="shared" si="1"/>
        <v>3.407539502657972E-5</v>
      </c>
    </row>
    <row r="25" spans="2:7" x14ac:dyDescent="0.25">
      <c r="B25" s="49"/>
      <c r="C25" s="34">
        <v>7</v>
      </c>
      <c r="D25" s="34">
        <v>577</v>
      </c>
      <c r="E25" s="19">
        <f t="shared" si="0"/>
        <v>0.12573074078395544</v>
      </c>
      <c r="F25" s="19">
        <f t="shared" si="2"/>
        <v>3.4241419857342081E-3</v>
      </c>
      <c r="G25" s="21">
        <f t="shared" si="1"/>
        <v>3.4241419857342083E-5</v>
      </c>
    </row>
    <row r="26" spans="2:7" x14ac:dyDescent="0.25">
      <c r="B26" s="49"/>
      <c r="C26" s="34">
        <v>8</v>
      </c>
      <c r="D26" s="34">
        <v>608</v>
      </c>
      <c r="E26" s="19">
        <f t="shared" si="0"/>
        <v>0.12906407031616254</v>
      </c>
      <c r="F26" s="19">
        <f t="shared" si="2"/>
        <v>3.3333295322071077E-3</v>
      </c>
      <c r="G26" s="21">
        <f t="shared" si="1"/>
        <v>3.3333295322071079E-5</v>
      </c>
    </row>
    <row r="27" spans="2:7" x14ac:dyDescent="0.25">
      <c r="B27" s="49"/>
      <c r="C27" s="34">
        <v>9</v>
      </c>
      <c r="D27" s="34">
        <v>638</v>
      </c>
      <c r="E27" s="19">
        <f t="shared" si="0"/>
        <v>0.13220987880939356</v>
      </c>
      <c r="F27" s="19">
        <f t="shared" si="2"/>
        <v>3.1458084932310115E-3</v>
      </c>
      <c r="G27" s="21">
        <f t="shared" si="1"/>
        <v>3.1458084932310116E-5</v>
      </c>
    </row>
    <row r="28" spans="2:7" x14ac:dyDescent="0.25">
      <c r="B28" s="49"/>
      <c r="C28" s="34">
        <v>10</v>
      </c>
      <c r="D28" s="34">
        <v>669</v>
      </c>
      <c r="E28" s="19">
        <f t="shared" si="0"/>
        <v>0.13538377717912761</v>
      </c>
      <c r="F28" s="19">
        <f t="shared" si="2"/>
        <v>3.1738983697340573E-3</v>
      </c>
      <c r="G28" s="21">
        <f t="shared" si="1"/>
        <v>3.1738983697340571E-5</v>
      </c>
    </row>
    <row r="29" spans="2:7" x14ac:dyDescent="0.25">
      <c r="B29" s="49"/>
      <c r="C29" s="34">
        <v>11</v>
      </c>
      <c r="D29" s="34">
        <v>699</v>
      </c>
      <c r="E29" s="19">
        <f t="shared" si="0"/>
        <v>0.13838599976698096</v>
      </c>
      <c r="F29" s="19">
        <f t="shared" si="2"/>
        <v>3.0022225878533482E-3</v>
      </c>
      <c r="G29" s="21">
        <f t="shared" si="1"/>
        <v>3.0022225878533483E-5</v>
      </c>
    </row>
    <row r="30" spans="2:7" x14ac:dyDescent="0.25">
      <c r="B30" s="49"/>
      <c r="C30" s="34">
        <v>12</v>
      </c>
      <c r="D30" s="34">
        <v>730</v>
      </c>
      <c r="E30" s="19">
        <f t="shared" si="0"/>
        <v>0.14142135623730953</v>
      </c>
      <c r="F30" s="19">
        <f t="shared" si="2"/>
        <v>3.0353564703285707E-3</v>
      </c>
      <c r="G30" s="21">
        <f t="shared" si="1"/>
        <v>3.0353564703285708E-5</v>
      </c>
    </row>
    <row r="31" spans="2:7" x14ac:dyDescent="0.25">
      <c r="B31" s="49">
        <v>3</v>
      </c>
      <c r="C31" s="34">
        <v>1</v>
      </c>
      <c r="D31" s="34">
        <v>761</v>
      </c>
      <c r="E31" s="19">
        <f t="shared" si="0"/>
        <v>0.14439291903861892</v>
      </c>
      <c r="F31" s="19">
        <f t="shared" si="2"/>
        <v>2.9715628013093909E-3</v>
      </c>
      <c r="G31" s="21">
        <f t="shared" si="1"/>
        <v>2.971562801309391E-5</v>
      </c>
    </row>
    <row r="32" spans="2:7" x14ac:dyDescent="0.25">
      <c r="B32" s="49"/>
      <c r="C32" s="34">
        <v>2</v>
      </c>
      <c r="D32" s="34">
        <v>789</v>
      </c>
      <c r="E32" s="19">
        <f t="shared" si="0"/>
        <v>0.14702529835427777</v>
      </c>
      <c r="F32" s="19">
        <f t="shared" si="2"/>
        <v>2.6323793156588504E-3</v>
      </c>
      <c r="G32" s="21">
        <f t="shared" si="1"/>
        <v>2.6323793156588505E-5</v>
      </c>
    </row>
    <row r="33" spans="2:7" x14ac:dyDescent="0.25">
      <c r="B33" s="49"/>
      <c r="C33" s="34">
        <v>3</v>
      </c>
      <c r="D33" s="34">
        <v>820</v>
      </c>
      <c r="E33" s="19">
        <f t="shared" si="0"/>
        <v>0.14988580127769791</v>
      </c>
      <c r="F33" s="19">
        <f t="shared" si="2"/>
        <v>2.8605029234201329E-3</v>
      </c>
      <c r="G33" s="21">
        <f t="shared" si="1"/>
        <v>2.8605029234201328E-5</v>
      </c>
    </row>
    <row r="34" spans="2:7" x14ac:dyDescent="0.25">
      <c r="B34" s="49"/>
      <c r="C34" s="34">
        <v>4</v>
      </c>
      <c r="D34" s="34">
        <v>850</v>
      </c>
      <c r="E34" s="19">
        <f t="shared" si="0"/>
        <v>0.15260298566173836</v>
      </c>
      <c r="F34" s="19">
        <f t="shared" si="2"/>
        <v>2.7171843840404497E-3</v>
      </c>
      <c r="G34" s="21">
        <f t="shared" si="1"/>
        <v>2.7171843840404498E-5</v>
      </c>
    </row>
    <row r="35" spans="2:7" x14ac:dyDescent="0.25">
      <c r="B35" s="49"/>
      <c r="C35" s="34">
        <v>5</v>
      </c>
      <c r="D35" s="34">
        <v>881</v>
      </c>
      <c r="E35" s="19">
        <f t="shared" si="0"/>
        <v>0.15536082614793817</v>
      </c>
      <c r="F35" s="19">
        <f t="shared" si="2"/>
        <v>2.757840486199814E-3</v>
      </c>
      <c r="G35" s="21">
        <f t="shared" si="1"/>
        <v>2.757840486199814E-5</v>
      </c>
    </row>
    <row r="36" spans="2:7" x14ac:dyDescent="0.25">
      <c r="B36" s="49"/>
      <c r="C36" s="34">
        <v>6</v>
      </c>
      <c r="D36" s="34">
        <v>911</v>
      </c>
      <c r="E36" s="19">
        <f t="shared" si="0"/>
        <v>0.15798387294147798</v>
      </c>
      <c r="F36" s="19">
        <f t="shared" si="2"/>
        <v>2.6230467935398072E-3</v>
      </c>
      <c r="G36" s="21">
        <f t="shared" si="1"/>
        <v>2.6230467935398073E-5</v>
      </c>
    </row>
    <row r="37" spans="2:7" x14ac:dyDescent="0.25">
      <c r="B37" s="49"/>
      <c r="C37" s="34">
        <v>7</v>
      </c>
      <c r="D37" s="34">
        <v>942</v>
      </c>
      <c r="E37" s="19">
        <f t="shared" si="0"/>
        <v>0.16064936718855199</v>
      </c>
      <c r="F37" s="19">
        <f t="shared" si="2"/>
        <v>2.6654942470740184E-3</v>
      </c>
      <c r="G37" s="21">
        <f t="shared" si="1"/>
        <v>2.6654942470740183E-5</v>
      </c>
    </row>
    <row r="38" spans="2:7" x14ac:dyDescent="0.25">
      <c r="B38" s="49"/>
      <c r="C38" s="34">
        <v>8</v>
      </c>
      <c r="D38" s="34">
        <v>973</v>
      </c>
      <c r="E38" s="19">
        <f t="shared" si="0"/>
        <v>0.16327135157943462</v>
      </c>
      <c r="F38" s="19">
        <f t="shared" si="2"/>
        <v>2.6219843908826257E-3</v>
      </c>
      <c r="G38" s="21">
        <f t="shared" si="1"/>
        <v>2.6219843908826257E-5</v>
      </c>
    </row>
    <row r="39" spans="2:7" x14ac:dyDescent="0.25">
      <c r="B39" s="49"/>
      <c r="C39" s="34">
        <v>9</v>
      </c>
      <c r="D39" s="34">
        <v>1003</v>
      </c>
      <c r="E39" s="19">
        <f t="shared" ref="E39:E66" si="3">$E$3*SQRT(D39)</f>
        <v>0.16576927355452378</v>
      </c>
      <c r="F39" s="19">
        <f t="shared" si="2"/>
        <v>2.4979219750891624E-3</v>
      </c>
      <c r="G39" s="21">
        <f t="shared" si="1"/>
        <v>2.4979219750891623E-5</v>
      </c>
    </row>
    <row r="40" spans="2:7" x14ac:dyDescent="0.25">
      <c r="B40" s="49"/>
      <c r="C40" s="34">
        <v>10</v>
      </c>
      <c r="D40" s="34">
        <v>1034</v>
      </c>
      <c r="E40" s="19">
        <f t="shared" si="3"/>
        <v>0.16831151809453707</v>
      </c>
      <c r="F40" s="19">
        <f t="shared" si="2"/>
        <v>2.5422445400132831E-3</v>
      </c>
      <c r="G40" s="21">
        <f t="shared" si="1"/>
        <v>2.542244540013283E-5</v>
      </c>
    </row>
    <row r="41" spans="2:7" x14ac:dyDescent="0.25">
      <c r="B41" s="49"/>
      <c r="C41" s="34">
        <v>11</v>
      </c>
      <c r="D41" s="34">
        <v>1064</v>
      </c>
      <c r="E41" s="19">
        <f t="shared" si="3"/>
        <v>0.17073571662515977</v>
      </c>
      <c r="F41" s="19">
        <f t="shared" si="2"/>
        <v>2.424198530622701E-3</v>
      </c>
      <c r="G41" s="21">
        <f t="shared" si="1"/>
        <v>2.424198530622701E-5</v>
      </c>
    </row>
    <row r="42" spans="2:7" x14ac:dyDescent="0.25">
      <c r="B42" s="49"/>
      <c r="C42" s="34">
        <v>12</v>
      </c>
      <c r="D42" s="34">
        <v>1095</v>
      </c>
      <c r="E42" s="19">
        <f t="shared" si="3"/>
        <v>0.17320508075688776</v>
      </c>
      <c r="F42" s="19">
        <f t="shared" si="2"/>
        <v>2.4693641317279913E-3</v>
      </c>
      <c r="G42" s="21">
        <f t="shared" si="1"/>
        <v>2.4693641317279913E-5</v>
      </c>
    </row>
    <row r="43" spans="2:7" x14ac:dyDescent="0.25">
      <c r="B43" s="49">
        <v>4</v>
      </c>
      <c r="C43" s="34">
        <v>1</v>
      </c>
      <c r="D43" s="34">
        <v>1126</v>
      </c>
      <c r="E43" s="19">
        <f t="shared" si="3"/>
        <v>0.17563973089393289</v>
      </c>
      <c r="F43" s="19">
        <f t="shared" si="2"/>
        <v>2.4346501370451357E-3</v>
      </c>
      <c r="G43" s="21">
        <f t="shared" si="1"/>
        <v>2.4346501370451358E-5</v>
      </c>
    </row>
    <row r="44" spans="2:7" x14ac:dyDescent="0.25">
      <c r="B44" s="49"/>
      <c r="C44" s="34">
        <v>2</v>
      </c>
      <c r="D44" s="34">
        <v>1154</v>
      </c>
      <c r="E44" s="19">
        <f t="shared" si="3"/>
        <v>0.17781011882388584</v>
      </c>
      <c r="F44" s="19">
        <f t="shared" si="2"/>
        <v>2.1703879299529438E-3</v>
      </c>
      <c r="G44" s="21">
        <f t="shared" si="1"/>
        <v>2.1703879299529437E-5</v>
      </c>
    </row>
    <row r="45" spans="2:7" x14ac:dyDescent="0.25">
      <c r="B45" s="49"/>
      <c r="C45" s="34">
        <v>3</v>
      </c>
      <c r="D45" s="34">
        <v>1185</v>
      </c>
      <c r="E45" s="19">
        <f t="shared" si="3"/>
        <v>0.18018255582785353</v>
      </c>
      <c r="F45" s="19">
        <f t="shared" si="2"/>
        <v>2.3724370039676923E-3</v>
      </c>
      <c r="G45" s="21">
        <f t="shared" si="1"/>
        <v>2.3724370039676925E-5</v>
      </c>
    </row>
    <row r="46" spans="2:7" x14ac:dyDescent="0.25">
      <c r="B46" s="49"/>
      <c r="C46" s="34">
        <v>4</v>
      </c>
      <c r="D46" s="34">
        <v>1215</v>
      </c>
      <c r="E46" s="19">
        <f t="shared" si="3"/>
        <v>0.18244909216786123</v>
      </c>
      <c r="F46" s="19">
        <f t="shared" si="2"/>
        <v>2.2665363400077021E-3</v>
      </c>
      <c r="G46" s="21">
        <f t="shared" si="1"/>
        <v>2.2665363400077022E-5</v>
      </c>
    </row>
    <row r="47" spans="2:7" x14ac:dyDescent="0.25">
      <c r="B47" s="49"/>
      <c r="C47" s="34">
        <v>5</v>
      </c>
      <c r="D47" s="34">
        <v>1246</v>
      </c>
      <c r="E47" s="19">
        <f t="shared" si="3"/>
        <v>0.18476197201093594</v>
      </c>
      <c r="F47" s="19">
        <f t="shared" si="2"/>
        <v>2.3128798430747111E-3</v>
      </c>
      <c r="G47" s="21">
        <f t="shared" si="1"/>
        <v>2.3128798430747112E-5</v>
      </c>
    </row>
    <row r="48" spans="2:7" x14ac:dyDescent="0.25">
      <c r="B48" s="49"/>
      <c r="C48" s="34">
        <v>6</v>
      </c>
      <c r="D48" s="34">
        <v>1276</v>
      </c>
      <c r="E48" s="19">
        <f t="shared" si="3"/>
        <v>0.18697300369194758</v>
      </c>
      <c r="F48" s="19">
        <f t="shared" si="2"/>
        <v>2.2110316810116382E-3</v>
      </c>
      <c r="G48" s="21">
        <f t="shared" si="1"/>
        <v>2.2110316810116383E-5</v>
      </c>
    </row>
    <row r="49" spans="2:7" x14ac:dyDescent="0.25">
      <c r="B49" s="49"/>
      <c r="C49" s="34">
        <v>7</v>
      </c>
      <c r="D49" s="34">
        <v>1307</v>
      </c>
      <c r="E49" s="19">
        <f t="shared" si="3"/>
        <v>0.18923059789072752</v>
      </c>
      <c r="F49" s="19">
        <f t="shared" si="2"/>
        <v>2.2575941987799386E-3</v>
      </c>
      <c r="G49" s="21">
        <f t="shared" si="1"/>
        <v>2.2575941987799385E-5</v>
      </c>
    </row>
    <row r="50" spans="2:7" x14ac:dyDescent="0.25">
      <c r="B50" s="49"/>
      <c r="C50" s="34">
        <v>8</v>
      </c>
      <c r="D50" s="34">
        <v>1338</v>
      </c>
      <c r="E50" s="19">
        <f t="shared" si="3"/>
        <v>0.19146157381201942</v>
      </c>
      <c r="F50" s="19">
        <f t="shared" si="2"/>
        <v>2.2309759212919E-3</v>
      </c>
      <c r="G50" s="21">
        <f t="shared" si="1"/>
        <v>2.2309759212919E-5</v>
      </c>
    </row>
    <row r="51" spans="2:7" x14ac:dyDescent="0.25">
      <c r="B51" s="49"/>
      <c r="C51" s="34">
        <v>9</v>
      </c>
      <c r="D51" s="34">
        <v>1368</v>
      </c>
      <c r="E51" s="19">
        <f t="shared" si="3"/>
        <v>0.1935961054742438</v>
      </c>
      <c r="F51" s="19">
        <f t="shared" si="2"/>
        <v>2.1345316622243815E-3</v>
      </c>
      <c r="G51" s="21">
        <f t="shared" si="1"/>
        <v>2.1345316622243814E-5</v>
      </c>
    </row>
    <row r="52" spans="2:7" x14ac:dyDescent="0.25">
      <c r="B52" s="49"/>
      <c r="C52" s="34">
        <v>10</v>
      </c>
      <c r="D52" s="34">
        <v>1399</v>
      </c>
      <c r="E52" s="19">
        <f t="shared" si="3"/>
        <v>0.19577734067886324</v>
      </c>
      <c r="F52" s="19">
        <f t="shared" si="2"/>
        <v>2.1812352046194361E-3</v>
      </c>
      <c r="G52" s="21">
        <f t="shared" si="1"/>
        <v>2.1812352046194362E-5</v>
      </c>
    </row>
    <row r="53" spans="2:7" x14ac:dyDescent="0.25">
      <c r="B53" s="49"/>
      <c r="C53" s="34">
        <v>11</v>
      </c>
      <c r="D53" s="34">
        <v>1429</v>
      </c>
      <c r="E53" s="19">
        <f t="shared" si="3"/>
        <v>0.19786532018397479</v>
      </c>
      <c r="F53" s="19">
        <f t="shared" si="2"/>
        <v>2.0879795051115535E-3</v>
      </c>
      <c r="G53" s="21">
        <f t="shared" si="1"/>
        <v>2.0879795051115534E-5</v>
      </c>
    </row>
    <row r="54" spans="2:7" x14ac:dyDescent="0.25">
      <c r="B54" s="49"/>
      <c r="C54" s="34">
        <v>12</v>
      </c>
      <c r="D54" s="34">
        <v>1460</v>
      </c>
      <c r="E54" s="19">
        <f t="shared" si="3"/>
        <v>0.20000000000000004</v>
      </c>
      <c r="F54" s="19">
        <f t="shared" si="2"/>
        <v>2.1346798160252478E-3</v>
      </c>
      <c r="G54" s="21">
        <f t="shared" si="1"/>
        <v>2.1346798160252479E-5</v>
      </c>
    </row>
    <row r="55" spans="2:7" x14ac:dyDescent="0.25">
      <c r="B55" s="49">
        <v>5</v>
      </c>
      <c r="C55" s="34">
        <v>1</v>
      </c>
      <c r="D55" s="34">
        <v>1491</v>
      </c>
      <c r="E55" s="19">
        <f t="shared" si="3"/>
        <v>0.20211213488678298</v>
      </c>
      <c r="F55" s="19">
        <f t="shared" si="2"/>
        <v>2.1121348867829404E-3</v>
      </c>
      <c r="G55" s="21">
        <f t="shared" si="1"/>
        <v>2.1121348867829404E-5</v>
      </c>
    </row>
    <row r="56" spans="2:7" x14ac:dyDescent="0.25">
      <c r="B56" s="49"/>
      <c r="C56" s="34">
        <v>2</v>
      </c>
      <c r="D56" s="34">
        <v>1519</v>
      </c>
      <c r="E56" s="19">
        <f t="shared" si="3"/>
        <v>0.20400107439953447</v>
      </c>
      <c r="F56" s="19">
        <f t="shared" si="2"/>
        <v>1.8889395127514863E-3</v>
      </c>
      <c r="G56" s="21">
        <f t="shared" si="1"/>
        <v>1.8889395127514863E-5</v>
      </c>
    </row>
    <row r="57" spans="2:7" x14ac:dyDescent="0.25">
      <c r="B57" s="49"/>
      <c r="C57" s="34">
        <v>3</v>
      </c>
      <c r="D57" s="34">
        <v>1550</v>
      </c>
      <c r="E57" s="19">
        <f t="shared" si="3"/>
        <v>0.2060722043960746</v>
      </c>
      <c r="F57" s="19">
        <f t="shared" si="2"/>
        <v>2.0711299965401331E-3</v>
      </c>
      <c r="G57" s="21">
        <f t="shared" si="1"/>
        <v>2.0711299965401329E-5</v>
      </c>
    </row>
    <row r="58" spans="2:7" x14ac:dyDescent="0.25">
      <c r="B58" s="49"/>
      <c r="C58" s="34">
        <v>4</v>
      </c>
      <c r="D58" s="34">
        <v>1580</v>
      </c>
      <c r="E58" s="19">
        <f t="shared" si="3"/>
        <v>0.20805689422097198</v>
      </c>
      <c r="F58" s="19">
        <f t="shared" si="2"/>
        <v>1.9846898248973843E-3</v>
      </c>
      <c r="G58" s="21">
        <f t="shared" si="1"/>
        <v>1.9846898248973845E-5</v>
      </c>
    </row>
    <row r="59" spans="2:7" x14ac:dyDescent="0.25">
      <c r="B59" s="49"/>
      <c r="C59" s="34">
        <v>5</v>
      </c>
      <c r="D59" s="34">
        <v>1611</v>
      </c>
      <c r="E59" s="19">
        <f t="shared" si="3"/>
        <v>0.21008804416570181</v>
      </c>
      <c r="F59" s="19">
        <f t="shared" si="2"/>
        <v>2.031149944729832E-3</v>
      </c>
      <c r="G59" s="21">
        <f t="shared" si="1"/>
        <v>2.031149944729832E-5</v>
      </c>
    </row>
    <row r="60" spans="2:7" x14ac:dyDescent="0.25">
      <c r="B60" s="49"/>
      <c r="C60" s="34">
        <v>6</v>
      </c>
      <c r="D60" s="34">
        <v>1641</v>
      </c>
      <c r="E60" s="19">
        <f t="shared" si="3"/>
        <v>0.21203514828817666</v>
      </c>
      <c r="F60" s="19">
        <f t="shared" si="2"/>
        <v>1.9471041224748409E-3</v>
      </c>
      <c r="G60" s="21">
        <f t="shared" si="1"/>
        <v>1.9471041224748408E-5</v>
      </c>
    </row>
    <row r="61" spans="2:7" x14ac:dyDescent="0.25">
      <c r="B61" s="49"/>
      <c r="C61" s="34">
        <v>7</v>
      </c>
      <c r="D61" s="34">
        <v>1672</v>
      </c>
      <c r="E61" s="19">
        <f t="shared" si="3"/>
        <v>0.21402854757737858</v>
      </c>
      <c r="F61" s="19">
        <f t="shared" si="2"/>
        <v>1.9933992892019192E-3</v>
      </c>
      <c r="G61" s="21">
        <f t="shared" si="1"/>
        <v>1.9933992892019193E-5</v>
      </c>
    </row>
    <row r="62" spans="2:7" x14ac:dyDescent="0.25">
      <c r="B62" s="49"/>
      <c r="C62" s="34">
        <v>8</v>
      </c>
      <c r="D62" s="34">
        <v>1703</v>
      </c>
      <c r="E62" s="19">
        <f t="shared" si="3"/>
        <v>0.21600355146750566</v>
      </c>
      <c r="F62" s="19">
        <f t="shared" si="2"/>
        <v>1.9750038901270861E-3</v>
      </c>
      <c r="G62" s="21">
        <f t="shared" si="1"/>
        <v>1.9750038901270862E-5</v>
      </c>
    </row>
    <row r="63" spans="2:7" x14ac:dyDescent="0.25">
      <c r="B63" s="49"/>
      <c r="C63" s="34">
        <v>9</v>
      </c>
      <c r="D63" s="34">
        <v>1733</v>
      </c>
      <c r="E63" s="19">
        <f t="shared" si="3"/>
        <v>0.21789780185856522</v>
      </c>
      <c r="F63" s="19">
        <f t="shared" si="2"/>
        <v>1.8942503910595598E-3</v>
      </c>
      <c r="G63" s="21">
        <f t="shared" si="1"/>
        <v>1.8942503910595599E-5</v>
      </c>
    </row>
    <row r="64" spans="2:7" x14ac:dyDescent="0.25">
      <c r="B64" s="49"/>
      <c r="C64" s="34">
        <v>10</v>
      </c>
      <c r="D64" s="34">
        <v>1764</v>
      </c>
      <c r="E64" s="19">
        <f t="shared" si="3"/>
        <v>0.21983804748788979</v>
      </c>
      <c r="F64" s="19">
        <f t="shared" si="2"/>
        <v>1.9402456293245718E-3</v>
      </c>
      <c r="G64" s="21">
        <f t="shared" si="1"/>
        <v>1.9402456293245719E-5</v>
      </c>
    </row>
    <row r="65" spans="2:7" x14ac:dyDescent="0.25">
      <c r="B65" s="49"/>
      <c r="C65" s="34">
        <v>11</v>
      </c>
      <c r="D65" s="34">
        <v>1794</v>
      </c>
      <c r="E65" s="19">
        <f t="shared" si="3"/>
        <v>0.22169953750855428</v>
      </c>
      <c r="F65" s="19">
        <f t="shared" si="2"/>
        <v>1.8614900206644913E-3</v>
      </c>
      <c r="G65" s="21">
        <f t="shared" si="1"/>
        <v>1.8614900206644913E-5</v>
      </c>
    </row>
    <row r="66" spans="2:7" x14ac:dyDescent="0.25">
      <c r="B66" s="49"/>
      <c r="C66" s="34">
        <v>12</v>
      </c>
      <c r="D66" s="34">
        <v>1825</v>
      </c>
      <c r="E66" s="19">
        <f t="shared" si="3"/>
        <v>0.22360679774997899</v>
      </c>
      <c r="F66" s="19">
        <f t="shared" si="2"/>
        <v>1.9072602414247075E-3</v>
      </c>
      <c r="G66" s="21">
        <f t="shared" si="1"/>
        <v>1.9072602414247077E-5</v>
      </c>
    </row>
  </sheetData>
  <mergeCells count="10">
    <mergeCell ref="B2:F2"/>
    <mergeCell ref="G2:H2"/>
    <mergeCell ref="B3:D3"/>
    <mergeCell ref="B7:B18"/>
    <mergeCell ref="G3:H4"/>
    <mergeCell ref="B19:B30"/>
    <mergeCell ref="B31:B42"/>
    <mergeCell ref="B43:B54"/>
    <mergeCell ref="B55:B66"/>
    <mergeCell ref="B4:D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0F794-1D7A-4CB2-8F27-691BEBBBCEDE}">
  <dimension ref="B2:S263"/>
  <sheetViews>
    <sheetView showGridLines="0" zoomScale="70" zoomScaleNormal="70" workbookViewId="0">
      <selection activeCell="M16" sqref="M16"/>
    </sheetView>
  </sheetViews>
  <sheetFormatPr defaultColWidth="12.6328125" defaultRowHeight="14" x14ac:dyDescent="0.3"/>
  <cols>
    <col min="1" max="1" width="3.6328125" style="9" customWidth="1"/>
    <col min="2" max="5" width="12.6328125" style="9"/>
    <col min="6" max="6" width="35.08984375" style="9" customWidth="1"/>
    <col min="7" max="7" width="4.1796875" style="9" customWidth="1"/>
    <col min="8" max="9" width="12.6328125" style="9"/>
    <col min="10" max="10" width="6.26953125" style="9" customWidth="1"/>
    <col min="11" max="11" width="22.1796875" style="9" customWidth="1"/>
    <col min="12" max="12" width="10.26953125" style="9" customWidth="1"/>
    <col min="13" max="13" width="81.1796875" style="9" customWidth="1"/>
    <col min="14" max="18" width="12.6328125" style="9"/>
    <col min="19" max="19" width="12.6328125" style="10"/>
    <col min="20" max="16384" width="12.6328125" style="9"/>
  </cols>
  <sheetData>
    <row r="2" spans="2:13" ht="21.5" customHeight="1" x14ac:dyDescent="0.3">
      <c r="B2" s="83" t="s">
        <v>8</v>
      </c>
      <c r="C2" s="84"/>
      <c r="D2" s="84"/>
      <c r="E2" s="85"/>
      <c r="F2" s="62" t="s">
        <v>22</v>
      </c>
      <c r="H2" s="87" t="s">
        <v>13</v>
      </c>
      <c r="I2" s="88"/>
      <c r="K2" s="79" t="s">
        <v>31</v>
      </c>
      <c r="L2" s="80">
        <v>0.02</v>
      </c>
      <c r="M2" s="75" t="s">
        <v>46</v>
      </c>
    </row>
    <row r="3" spans="2:13" ht="18" customHeight="1" x14ac:dyDescent="0.3">
      <c r="B3" s="83" t="s">
        <v>9</v>
      </c>
      <c r="C3" s="85"/>
      <c r="D3" s="83" t="s">
        <v>10</v>
      </c>
      <c r="E3" s="85"/>
      <c r="F3" s="86"/>
      <c r="H3" s="89"/>
      <c r="I3" s="90"/>
      <c r="K3" s="79"/>
      <c r="L3" s="80"/>
      <c r="M3" s="75"/>
    </row>
    <row r="4" spans="2:13" ht="14.5" customHeight="1" x14ac:dyDescent="0.3">
      <c r="B4" s="91">
        <v>2025</v>
      </c>
      <c r="C4" s="72">
        <f>SUM(E4:E5)</f>
        <v>181715</v>
      </c>
      <c r="D4" s="11">
        <v>11</v>
      </c>
      <c r="E4" s="12">
        <v>113504</v>
      </c>
      <c r="F4" s="78" t="s">
        <v>42</v>
      </c>
      <c r="G4" s="13"/>
      <c r="H4" s="89"/>
      <c r="I4" s="90"/>
      <c r="K4" s="79"/>
      <c r="L4" s="80"/>
      <c r="M4" s="75"/>
    </row>
    <row r="5" spans="2:13" x14ac:dyDescent="0.3">
      <c r="B5" s="92"/>
      <c r="C5" s="94"/>
      <c r="D5" s="11">
        <v>12</v>
      </c>
      <c r="E5" s="12">
        <v>68211</v>
      </c>
      <c r="F5" s="78"/>
      <c r="G5" s="13"/>
      <c r="H5" s="89"/>
      <c r="I5" s="90"/>
    </row>
    <row r="6" spans="2:13" ht="14" customHeight="1" x14ac:dyDescent="0.3">
      <c r="B6" s="91">
        <v>2026</v>
      </c>
      <c r="C6" s="72">
        <f>SUM(E6:E17)</f>
        <v>304610</v>
      </c>
      <c r="D6" s="11">
        <v>1</v>
      </c>
      <c r="E6" s="12">
        <v>0</v>
      </c>
      <c r="F6" s="78"/>
      <c r="G6" s="13"/>
      <c r="H6" s="14">
        <v>1</v>
      </c>
      <c r="I6" s="15">
        <f t="shared" ref="I6:I17" si="0">E6/SUM($E$6:$E$17)</f>
        <v>0</v>
      </c>
    </row>
    <row r="7" spans="2:13" x14ac:dyDescent="0.3">
      <c r="B7" s="93"/>
      <c r="C7" s="73"/>
      <c r="D7" s="11">
        <v>2</v>
      </c>
      <c r="E7" s="12">
        <v>69610</v>
      </c>
      <c r="F7" s="78"/>
      <c r="G7" s="13"/>
      <c r="H7" s="14">
        <v>2</v>
      </c>
      <c r="I7" s="15">
        <f t="shared" si="0"/>
        <v>0.22852171629296478</v>
      </c>
    </row>
    <row r="8" spans="2:13" x14ac:dyDescent="0.3">
      <c r="B8" s="93"/>
      <c r="C8" s="73"/>
      <c r="D8" s="11">
        <v>3</v>
      </c>
      <c r="E8" s="12">
        <v>0</v>
      </c>
      <c r="F8" s="78"/>
      <c r="G8" s="13"/>
      <c r="H8" s="14">
        <v>3</v>
      </c>
      <c r="I8" s="15">
        <f t="shared" si="0"/>
        <v>0</v>
      </c>
    </row>
    <row r="9" spans="2:13" x14ac:dyDescent="0.3">
      <c r="B9" s="93"/>
      <c r="C9" s="73"/>
      <c r="D9" s="11">
        <v>4</v>
      </c>
      <c r="E9" s="12">
        <v>0</v>
      </c>
      <c r="F9" s="78"/>
      <c r="G9" s="13"/>
      <c r="H9" s="14">
        <v>4</v>
      </c>
      <c r="I9" s="15">
        <f t="shared" si="0"/>
        <v>0</v>
      </c>
    </row>
    <row r="10" spans="2:13" x14ac:dyDescent="0.3">
      <c r="B10" s="93"/>
      <c r="C10" s="73"/>
      <c r="D10" s="11">
        <v>5</v>
      </c>
      <c r="E10" s="12">
        <v>0</v>
      </c>
      <c r="F10" s="78"/>
      <c r="G10" s="13"/>
      <c r="H10" s="14">
        <v>5</v>
      </c>
      <c r="I10" s="15">
        <f t="shared" si="0"/>
        <v>0</v>
      </c>
    </row>
    <row r="11" spans="2:13" x14ac:dyDescent="0.3">
      <c r="B11" s="93"/>
      <c r="C11" s="73"/>
      <c r="D11" s="11">
        <v>6</v>
      </c>
      <c r="E11" s="12">
        <v>0</v>
      </c>
      <c r="F11" s="78"/>
      <c r="G11" s="13"/>
      <c r="H11" s="14">
        <v>6</v>
      </c>
      <c r="I11" s="15">
        <f t="shared" si="0"/>
        <v>0</v>
      </c>
    </row>
    <row r="12" spans="2:13" x14ac:dyDescent="0.3">
      <c r="B12" s="93"/>
      <c r="C12" s="73"/>
      <c r="D12" s="11">
        <v>7</v>
      </c>
      <c r="E12" s="12">
        <v>0</v>
      </c>
      <c r="F12" s="78"/>
      <c r="G12" s="13"/>
      <c r="H12" s="14">
        <v>7</v>
      </c>
      <c r="I12" s="15">
        <f t="shared" si="0"/>
        <v>0</v>
      </c>
    </row>
    <row r="13" spans="2:13" x14ac:dyDescent="0.3">
      <c r="B13" s="93"/>
      <c r="C13" s="73"/>
      <c r="D13" s="11">
        <v>8</v>
      </c>
      <c r="E13" s="12">
        <v>0</v>
      </c>
      <c r="F13" s="78"/>
      <c r="G13" s="13"/>
      <c r="H13" s="14">
        <v>8</v>
      </c>
      <c r="I13" s="15">
        <f t="shared" si="0"/>
        <v>0</v>
      </c>
    </row>
    <row r="14" spans="2:13" x14ac:dyDescent="0.3">
      <c r="B14" s="93"/>
      <c r="C14" s="73"/>
      <c r="D14" s="11">
        <v>9</v>
      </c>
      <c r="E14" s="12">
        <v>0</v>
      </c>
      <c r="F14" s="78"/>
      <c r="G14" s="13"/>
      <c r="H14" s="14">
        <v>9</v>
      </c>
      <c r="I14" s="15">
        <f t="shared" si="0"/>
        <v>0</v>
      </c>
    </row>
    <row r="15" spans="2:13" x14ac:dyDescent="0.3">
      <c r="B15" s="93"/>
      <c r="C15" s="73"/>
      <c r="D15" s="11">
        <v>10</v>
      </c>
      <c r="E15" s="12">
        <v>0</v>
      </c>
      <c r="F15" s="78"/>
      <c r="G15" s="13"/>
      <c r="H15" s="14">
        <v>10</v>
      </c>
      <c r="I15" s="15">
        <f t="shared" si="0"/>
        <v>0</v>
      </c>
    </row>
    <row r="16" spans="2:13" ht="28" customHeight="1" x14ac:dyDescent="0.3">
      <c r="B16" s="93"/>
      <c r="C16" s="73"/>
      <c r="D16" s="11">
        <v>11</v>
      </c>
      <c r="E16" s="12">
        <v>78000</v>
      </c>
      <c r="F16" s="76" t="s">
        <v>11</v>
      </c>
      <c r="G16" s="13"/>
      <c r="H16" s="14">
        <v>11</v>
      </c>
      <c r="I16" s="15">
        <f t="shared" si="0"/>
        <v>0.25606513246446277</v>
      </c>
    </row>
    <row r="17" spans="2:9" x14ac:dyDescent="0.3">
      <c r="B17" s="92"/>
      <c r="C17" s="74"/>
      <c r="D17" s="11">
        <v>12</v>
      </c>
      <c r="E17" s="12">
        <v>157000</v>
      </c>
      <c r="F17" s="77"/>
      <c r="G17" s="13"/>
      <c r="H17" s="14">
        <v>12</v>
      </c>
      <c r="I17" s="15">
        <f t="shared" si="0"/>
        <v>0.51541315124257248</v>
      </c>
    </row>
    <row r="18" spans="2:9" x14ac:dyDescent="0.3">
      <c r="B18" s="91">
        <v>2027</v>
      </c>
      <c r="C18" s="72">
        <v>330000.10720674996</v>
      </c>
      <c r="D18" s="11">
        <v>1</v>
      </c>
      <c r="E18" s="12">
        <f t="shared" ref="E18:E29" si="1">$C$18*I6</f>
        <v>0</v>
      </c>
      <c r="F18" s="78" t="s">
        <v>12</v>
      </c>
      <c r="G18" s="13"/>
    </row>
    <row r="19" spans="2:9" x14ac:dyDescent="0.3">
      <c r="B19" s="93"/>
      <c r="C19" s="73"/>
      <c r="D19" s="11">
        <v>2</v>
      </c>
      <c r="E19" s="12">
        <f t="shared" si="1"/>
        <v>75412.190875748871</v>
      </c>
      <c r="F19" s="78"/>
      <c r="G19" s="13"/>
    </row>
    <row r="20" spans="2:9" x14ac:dyDescent="0.3">
      <c r="B20" s="93"/>
      <c r="C20" s="73"/>
      <c r="D20" s="11">
        <v>3</v>
      </c>
      <c r="E20" s="12">
        <f t="shared" si="1"/>
        <v>0</v>
      </c>
      <c r="F20" s="78"/>
      <c r="G20" s="13"/>
    </row>
    <row r="21" spans="2:9" x14ac:dyDescent="0.3">
      <c r="B21" s="93"/>
      <c r="C21" s="73"/>
      <c r="D21" s="11">
        <v>4</v>
      </c>
      <c r="E21" s="12">
        <f t="shared" si="1"/>
        <v>0</v>
      </c>
      <c r="F21" s="78"/>
      <c r="G21" s="13"/>
    </row>
    <row r="22" spans="2:9" x14ac:dyDescent="0.3">
      <c r="B22" s="93"/>
      <c r="C22" s="73"/>
      <c r="D22" s="11">
        <v>5</v>
      </c>
      <c r="E22" s="12">
        <f t="shared" si="1"/>
        <v>0</v>
      </c>
      <c r="F22" s="78"/>
      <c r="G22" s="13"/>
    </row>
    <row r="23" spans="2:9" x14ac:dyDescent="0.3">
      <c r="B23" s="93"/>
      <c r="C23" s="73"/>
      <c r="D23" s="11">
        <v>6</v>
      </c>
      <c r="E23" s="12">
        <f t="shared" si="1"/>
        <v>0</v>
      </c>
      <c r="F23" s="78"/>
      <c r="G23" s="13"/>
    </row>
    <row r="24" spans="2:9" x14ac:dyDescent="0.3">
      <c r="B24" s="93"/>
      <c r="C24" s="73"/>
      <c r="D24" s="11">
        <v>7</v>
      </c>
      <c r="E24" s="12">
        <f t="shared" si="1"/>
        <v>0</v>
      </c>
      <c r="F24" s="78"/>
      <c r="G24" s="13"/>
    </row>
    <row r="25" spans="2:9" x14ac:dyDescent="0.3">
      <c r="B25" s="93"/>
      <c r="C25" s="73"/>
      <c r="D25" s="11">
        <v>8</v>
      </c>
      <c r="E25" s="12">
        <f t="shared" si="1"/>
        <v>0</v>
      </c>
      <c r="F25" s="78"/>
      <c r="G25" s="13"/>
    </row>
    <row r="26" spans="2:9" x14ac:dyDescent="0.3">
      <c r="B26" s="93"/>
      <c r="C26" s="73"/>
      <c r="D26" s="11">
        <v>9</v>
      </c>
      <c r="E26" s="12">
        <f t="shared" si="1"/>
        <v>0</v>
      </c>
      <c r="F26" s="78"/>
      <c r="G26" s="13"/>
    </row>
    <row r="27" spans="2:9" x14ac:dyDescent="0.3">
      <c r="B27" s="93"/>
      <c r="C27" s="73"/>
      <c r="D27" s="11">
        <v>10</v>
      </c>
      <c r="E27" s="12">
        <f t="shared" si="1"/>
        <v>0</v>
      </c>
      <c r="F27" s="78"/>
      <c r="G27" s="13"/>
    </row>
    <row r="28" spans="2:9" x14ac:dyDescent="0.3">
      <c r="B28" s="93"/>
      <c r="C28" s="73"/>
      <c r="D28" s="11">
        <v>11</v>
      </c>
      <c r="E28" s="12">
        <f t="shared" si="1"/>
        <v>84501.521165183352</v>
      </c>
      <c r="F28" s="78"/>
      <c r="G28" s="13"/>
    </row>
    <row r="29" spans="2:9" x14ac:dyDescent="0.3">
      <c r="B29" s="92"/>
      <c r="C29" s="74"/>
      <c r="D29" s="11">
        <v>12</v>
      </c>
      <c r="E29" s="12">
        <f t="shared" si="1"/>
        <v>170086.39516581775</v>
      </c>
      <c r="F29" s="78"/>
      <c r="G29" s="13"/>
    </row>
    <row r="30" spans="2:9" x14ac:dyDescent="0.3">
      <c r="B30" s="91">
        <v>2028</v>
      </c>
      <c r="C30" s="72">
        <v>319999.78107324999</v>
      </c>
      <c r="D30" s="11">
        <v>1</v>
      </c>
      <c r="E30" s="12">
        <f t="shared" ref="E30:E41" si="2">$C$30*I6</f>
        <v>0</v>
      </c>
      <c r="F30" s="78" t="s">
        <v>12</v>
      </c>
      <c r="G30" s="13"/>
    </row>
    <row r="31" spans="2:9" x14ac:dyDescent="0.3">
      <c r="B31" s="93"/>
      <c r="C31" s="73"/>
      <c r="D31" s="11">
        <v>2</v>
      </c>
      <c r="E31" s="12">
        <f t="shared" si="2"/>
        <v>73126.899184232068</v>
      </c>
      <c r="F31" s="78"/>
      <c r="G31" s="13"/>
    </row>
    <row r="32" spans="2:9" x14ac:dyDescent="0.3">
      <c r="B32" s="93"/>
      <c r="C32" s="73"/>
      <c r="D32" s="11">
        <v>3</v>
      </c>
      <c r="E32" s="12">
        <f t="shared" si="2"/>
        <v>0</v>
      </c>
      <c r="F32" s="78"/>
      <c r="G32" s="13"/>
    </row>
    <row r="33" spans="2:7" x14ac:dyDescent="0.3">
      <c r="B33" s="93"/>
      <c r="C33" s="73"/>
      <c r="D33" s="11">
        <v>4</v>
      </c>
      <c r="E33" s="12">
        <f t="shared" si="2"/>
        <v>0</v>
      </c>
      <c r="F33" s="78"/>
      <c r="G33" s="13"/>
    </row>
    <row r="34" spans="2:7" x14ac:dyDescent="0.3">
      <c r="B34" s="93"/>
      <c r="C34" s="73"/>
      <c r="D34" s="11">
        <v>5</v>
      </c>
      <c r="E34" s="12">
        <f t="shared" si="2"/>
        <v>0</v>
      </c>
      <c r="F34" s="78"/>
      <c r="G34" s="13"/>
    </row>
    <row r="35" spans="2:7" x14ac:dyDescent="0.3">
      <c r="B35" s="93"/>
      <c r="C35" s="73"/>
      <c r="D35" s="11">
        <v>6</v>
      </c>
      <c r="E35" s="12">
        <f t="shared" si="2"/>
        <v>0</v>
      </c>
      <c r="F35" s="78"/>
      <c r="G35" s="13"/>
    </row>
    <row r="36" spans="2:7" x14ac:dyDescent="0.3">
      <c r="B36" s="93"/>
      <c r="C36" s="73"/>
      <c r="D36" s="11">
        <v>7</v>
      </c>
      <c r="E36" s="12">
        <f t="shared" si="2"/>
        <v>0</v>
      </c>
      <c r="F36" s="78"/>
      <c r="G36" s="13"/>
    </row>
    <row r="37" spans="2:7" x14ac:dyDescent="0.3">
      <c r="B37" s="93"/>
      <c r="C37" s="73"/>
      <c r="D37" s="11">
        <v>8</v>
      </c>
      <c r="E37" s="12">
        <f t="shared" si="2"/>
        <v>0</v>
      </c>
      <c r="F37" s="78"/>
      <c r="G37" s="13"/>
    </row>
    <row r="38" spans="2:7" x14ac:dyDescent="0.3">
      <c r="B38" s="93"/>
      <c r="C38" s="73"/>
      <c r="D38" s="11">
        <v>9</v>
      </c>
      <c r="E38" s="12">
        <f t="shared" si="2"/>
        <v>0</v>
      </c>
      <c r="F38" s="78"/>
      <c r="G38" s="13"/>
    </row>
    <row r="39" spans="2:7" x14ac:dyDescent="0.3">
      <c r="B39" s="93"/>
      <c r="C39" s="73"/>
      <c r="D39" s="11">
        <v>10</v>
      </c>
      <c r="E39" s="12">
        <f t="shared" si="2"/>
        <v>0</v>
      </c>
      <c r="F39" s="78"/>
      <c r="G39" s="13"/>
    </row>
    <row r="40" spans="2:7" x14ac:dyDescent="0.3">
      <c r="B40" s="93"/>
      <c r="C40" s="73"/>
      <c r="D40" s="11">
        <v>11</v>
      </c>
      <c r="E40" s="12">
        <f t="shared" si="2"/>
        <v>81940.786329120849</v>
      </c>
      <c r="F40" s="78"/>
      <c r="G40" s="13"/>
    </row>
    <row r="41" spans="2:7" x14ac:dyDescent="0.3">
      <c r="B41" s="92"/>
      <c r="C41" s="74"/>
      <c r="D41" s="11">
        <v>12</v>
      </c>
      <c r="E41" s="12">
        <f t="shared" si="2"/>
        <v>164932.09555989708</v>
      </c>
      <c r="F41" s="78"/>
      <c r="G41" s="13"/>
    </row>
    <row r="42" spans="2:7" x14ac:dyDescent="0.3">
      <c r="B42" s="91">
        <v>2029</v>
      </c>
      <c r="C42" s="72">
        <v>319999.72138285451</v>
      </c>
      <c r="D42" s="11">
        <v>1</v>
      </c>
      <c r="E42" s="12">
        <f t="shared" ref="E42:E53" si="3">$C$42*I6</f>
        <v>0</v>
      </c>
      <c r="F42" s="78" t="s">
        <v>12</v>
      </c>
      <c r="G42" s="13"/>
    </row>
    <row r="43" spans="2:7" x14ac:dyDescent="0.3">
      <c r="B43" s="93"/>
      <c r="C43" s="73"/>
      <c r="D43" s="11">
        <v>2</v>
      </c>
      <c r="E43" s="12">
        <f t="shared" si="3"/>
        <v>73126.885543680459</v>
      </c>
      <c r="F43" s="78"/>
      <c r="G43" s="13"/>
    </row>
    <row r="44" spans="2:7" x14ac:dyDescent="0.3">
      <c r="B44" s="93"/>
      <c r="C44" s="73"/>
      <c r="D44" s="11">
        <v>3</v>
      </c>
      <c r="E44" s="12">
        <f t="shared" si="3"/>
        <v>0</v>
      </c>
      <c r="F44" s="78"/>
      <c r="G44" s="13"/>
    </row>
    <row r="45" spans="2:7" x14ac:dyDescent="0.3">
      <c r="B45" s="93"/>
      <c r="C45" s="73"/>
      <c r="D45" s="11">
        <v>4</v>
      </c>
      <c r="E45" s="12">
        <f t="shared" si="3"/>
        <v>0</v>
      </c>
      <c r="F45" s="78"/>
      <c r="G45" s="13"/>
    </row>
    <row r="46" spans="2:7" x14ac:dyDescent="0.3">
      <c r="B46" s="93"/>
      <c r="C46" s="73"/>
      <c r="D46" s="11">
        <v>5</v>
      </c>
      <c r="E46" s="12">
        <f t="shared" si="3"/>
        <v>0</v>
      </c>
      <c r="F46" s="78"/>
      <c r="G46" s="13"/>
    </row>
    <row r="47" spans="2:7" x14ac:dyDescent="0.3">
      <c r="B47" s="93"/>
      <c r="C47" s="73"/>
      <c r="D47" s="11">
        <v>6</v>
      </c>
      <c r="E47" s="12">
        <f t="shared" si="3"/>
        <v>0</v>
      </c>
      <c r="F47" s="78"/>
      <c r="G47" s="13"/>
    </row>
    <row r="48" spans="2:7" x14ac:dyDescent="0.3">
      <c r="B48" s="93"/>
      <c r="C48" s="73"/>
      <c r="D48" s="11">
        <v>7</v>
      </c>
      <c r="E48" s="12">
        <f t="shared" si="3"/>
        <v>0</v>
      </c>
      <c r="F48" s="78"/>
      <c r="G48" s="13"/>
    </row>
    <row r="49" spans="2:7" x14ac:dyDescent="0.3">
      <c r="B49" s="93"/>
      <c r="C49" s="73"/>
      <c r="D49" s="11">
        <v>8</v>
      </c>
      <c r="E49" s="12">
        <f t="shared" si="3"/>
        <v>0</v>
      </c>
      <c r="F49" s="78"/>
      <c r="G49" s="13"/>
    </row>
    <row r="50" spans="2:7" x14ac:dyDescent="0.3">
      <c r="B50" s="93"/>
      <c r="C50" s="73"/>
      <c r="D50" s="11">
        <v>9</v>
      </c>
      <c r="E50" s="12">
        <f t="shared" si="3"/>
        <v>0</v>
      </c>
      <c r="F50" s="78"/>
      <c r="G50" s="13"/>
    </row>
    <row r="51" spans="2:7" x14ac:dyDescent="0.3">
      <c r="B51" s="93"/>
      <c r="C51" s="73"/>
      <c r="D51" s="11">
        <v>10</v>
      </c>
      <c r="E51" s="12">
        <f t="shared" si="3"/>
        <v>0</v>
      </c>
      <c r="F51" s="78"/>
      <c r="G51" s="13"/>
    </row>
    <row r="52" spans="2:7" x14ac:dyDescent="0.3">
      <c r="B52" s="93"/>
      <c r="C52" s="73"/>
      <c r="D52" s="11">
        <v>11</v>
      </c>
      <c r="E52" s="12">
        <f t="shared" si="3"/>
        <v>81940.771044491819</v>
      </c>
      <c r="F52" s="78"/>
      <c r="G52" s="13"/>
    </row>
    <row r="53" spans="2:7" x14ac:dyDescent="0.3">
      <c r="B53" s="92"/>
      <c r="C53" s="74"/>
      <c r="D53" s="11">
        <v>12</v>
      </c>
      <c r="E53" s="12">
        <f t="shared" si="3"/>
        <v>164932.06479468226</v>
      </c>
      <c r="F53" s="78"/>
      <c r="G53" s="13"/>
    </row>
    <row r="54" spans="2:7" x14ac:dyDescent="0.3">
      <c r="B54" s="91">
        <v>2030</v>
      </c>
      <c r="C54" s="72">
        <v>319999.77420583332</v>
      </c>
      <c r="D54" s="11">
        <v>1</v>
      </c>
      <c r="E54" s="12">
        <f t="shared" ref="E54:E65" si="4">$C$54*I6</f>
        <v>0</v>
      </c>
      <c r="F54" s="78" t="s">
        <v>12</v>
      </c>
      <c r="G54" s="13"/>
    </row>
    <row r="55" spans="2:7" x14ac:dyDescent="0.3">
      <c r="B55" s="93"/>
      <c r="C55" s="73"/>
      <c r="D55" s="11">
        <v>2</v>
      </c>
      <c r="E55" s="12">
        <f t="shared" si="4"/>
        <v>73126.897614878224</v>
      </c>
      <c r="F55" s="78"/>
      <c r="G55" s="13"/>
    </row>
    <row r="56" spans="2:7" x14ac:dyDescent="0.3">
      <c r="B56" s="93"/>
      <c r="C56" s="73"/>
      <c r="D56" s="11">
        <v>3</v>
      </c>
      <c r="E56" s="12">
        <f t="shared" si="4"/>
        <v>0</v>
      </c>
      <c r="F56" s="78"/>
      <c r="G56" s="13"/>
    </row>
    <row r="57" spans="2:7" x14ac:dyDescent="0.3">
      <c r="B57" s="93"/>
      <c r="C57" s="73"/>
      <c r="D57" s="11">
        <v>4</v>
      </c>
      <c r="E57" s="12">
        <f t="shared" si="4"/>
        <v>0</v>
      </c>
      <c r="F57" s="78"/>
      <c r="G57" s="13"/>
    </row>
    <row r="58" spans="2:7" x14ac:dyDescent="0.3">
      <c r="B58" s="93"/>
      <c r="C58" s="73"/>
      <c r="D58" s="11">
        <v>5</v>
      </c>
      <c r="E58" s="12">
        <f t="shared" si="4"/>
        <v>0</v>
      </c>
      <c r="F58" s="78"/>
      <c r="G58" s="13"/>
    </row>
    <row r="59" spans="2:7" x14ac:dyDescent="0.3">
      <c r="B59" s="93"/>
      <c r="C59" s="73"/>
      <c r="D59" s="11">
        <v>6</v>
      </c>
      <c r="E59" s="12">
        <f t="shared" si="4"/>
        <v>0</v>
      </c>
      <c r="F59" s="78"/>
      <c r="G59" s="13"/>
    </row>
    <row r="60" spans="2:7" x14ac:dyDescent="0.3">
      <c r="B60" s="93"/>
      <c r="C60" s="73"/>
      <c r="D60" s="11">
        <v>7</v>
      </c>
      <c r="E60" s="12">
        <f t="shared" si="4"/>
        <v>0</v>
      </c>
      <c r="F60" s="78"/>
      <c r="G60" s="13"/>
    </row>
    <row r="61" spans="2:7" x14ac:dyDescent="0.3">
      <c r="B61" s="93"/>
      <c r="C61" s="73"/>
      <c r="D61" s="11">
        <v>8</v>
      </c>
      <c r="E61" s="12">
        <f t="shared" si="4"/>
        <v>0</v>
      </c>
      <c r="F61" s="78"/>
      <c r="G61" s="13"/>
    </row>
    <row r="62" spans="2:7" x14ac:dyDescent="0.3">
      <c r="B62" s="93"/>
      <c r="C62" s="73"/>
      <c r="D62" s="11">
        <v>9</v>
      </c>
      <c r="E62" s="12">
        <f t="shared" si="4"/>
        <v>0</v>
      </c>
      <c r="F62" s="78"/>
      <c r="G62" s="13"/>
    </row>
    <row r="63" spans="2:7" x14ac:dyDescent="0.3">
      <c r="B63" s="93"/>
      <c r="C63" s="73"/>
      <c r="D63" s="11">
        <v>10</v>
      </c>
      <c r="E63" s="12">
        <f t="shared" si="4"/>
        <v>0</v>
      </c>
      <c r="F63" s="78"/>
      <c r="G63" s="13"/>
    </row>
    <row r="64" spans="2:7" x14ac:dyDescent="0.3">
      <c r="B64" s="93"/>
      <c r="C64" s="73"/>
      <c r="D64" s="11">
        <v>11</v>
      </c>
      <c r="E64" s="12">
        <f t="shared" si="4"/>
        <v>81940.784570614895</v>
      </c>
      <c r="F64" s="78"/>
      <c r="G64" s="13"/>
    </row>
    <row r="65" spans="2:7" x14ac:dyDescent="0.3">
      <c r="B65" s="92"/>
      <c r="C65" s="74"/>
      <c r="D65" s="11">
        <v>12</v>
      </c>
      <c r="E65" s="12">
        <f t="shared" si="4"/>
        <v>164932.09202034021</v>
      </c>
      <c r="F65" s="78"/>
      <c r="G65" s="13"/>
    </row>
    <row r="66" spans="2:7" x14ac:dyDescent="0.3">
      <c r="B66" s="91">
        <v>2031</v>
      </c>
      <c r="C66" s="72">
        <v>319999.65306291316</v>
      </c>
      <c r="D66" s="11">
        <v>1</v>
      </c>
      <c r="E66" s="12">
        <f t="shared" ref="E66:E77" si="5">$C$66*I6</f>
        <v>0</v>
      </c>
      <c r="F66" s="78" t="s">
        <v>11</v>
      </c>
      <c r="G66" s="13"/>
    </row>
    <row r="67" spans="2:7" x14ac:dyDescent="0.3">
      <c r="B67" s="93"/>
      <c r="C67" s="73"/>
      <c r="D67" s="11">
        <v>2</v>
      </c>
      <c r="E67" s="12">
        <f t="shared" si="5"/>
        <v>73126.869931090201</v>
      </c>
      <c r="F67" s="78"/>
      <c r="G67" s="13"/>
    </row>
    <row r="68" spans="2:7" x14ac:dyDescent="0.3">
      <c r="B68" s="93"/>
      <c r="C68" s="73"/>
      <c r="D68" s="11">
        <v>3</v>
      </c>
      <c r="E68" s="12">
        <f t="shared" si="5"/>
        <v>0</v>
      </c>
      <c r="F68" s="78"/>
      <c r="G68" s="13"/>
    </row>
    <row r="69" spans="2:7" x14ac:dyDescent="0.3">
      <c r="B69" s="93"/>
      <c r="C69" s="73"/>
      <c r="D69" s="11">
        <v>4</v>
      </c>
      <c r="E69" s="12">
        <f t="shared" si="5"/>
        <v>0</v>
      </c>
      <c r="F69" s="78"/>
      <c r="G69" s="13"/>
    </row>
    <row r="70" spans="2:7" x14ac:dyDescent="0.3">
      <c r="B70" s="93"/>
      <c r="C70" s="73"/>
      <c r="D70" s="11">
        <v>5</v>
      </c>
      <c r="E70" s="12">
        <f t="shared" si="5"/>
        <v>0</v>
      </c>
      <c r="F70" s="78"/>
      <c r="G70" s="13"/>
    </row>
    <row r="71" spans="2:7" x14ac:dyDescent="0.3">
      <c r="B71" s="93"/>
      <c r="C71" s="73"/>
      <c r="D71" s="11">
        <v>6</v>
      </c>
      <c r="E71" s="12">
        <f t="shared" si="5"/>
        <v>0</v>
      </c>
      <c r="F71" s="78"/>
      <c r="G71" s="13"/>
    </row>
    <row r="72" spans="2:7" x14ac:dyDescent="0.3">
      <c r="B72" s="93"/>
      <c r="C72" s="73"/>
      <c r="D72" s="11">
        <v>7</v>
      </c>
      <c r="E72" s="12">
        <f t="shared" si="5"/>
        <v>0</v>
      </c>
      <c r="F72" s="78"/>
      <c r="G72" s="13"/>
    </row>
    <row r="73" spans="2:7" x14ac:dyDescent="0.3">
      <c r="B73" s="93"/>
      <c r="C73" s="73"/>
      <c r="D73" s="11">
        <v>8</v>
      </c>
      <c r="E73" s="12">
        <f t="shared" si="5"/>
        <v>0</v>
      </c>
      <c r="F73" s="78"/>
      <c r="G73" s="13"/>
    </row>
    <row r="74" spans="2:7" x14ac:dyDescent="0.3">
      <c r="B74" s="93"/>
      <c r="C74" s="73"/>
      <c r="D74" s="11">
        <v>9</v>
      </c>
      <c r="E74" s="12">
        <f t="shared" si="5"/>
        <v>0</v>
      </c>
      <c r="F74" s="78"/>
      <c r="G74" s="13"/>
    </row>
    <row r="75" spans="2:7" x14ac:dyDescent="0.3">
      <c r="B75" s="93"/>
      <c r="C75" s="73"/>
      <c r="D75" s="11">
        <v>10</v>
      </c>
      <c r="E75" s="12">
        <f t="shared" si="5"/>
        <v>0</v>
      </c>
      <c r="F75" s="78"/>
      <c r="G75" s="13"/>
    </row>
    <row r="76" spans="2:7" x14ac:dyDescent="0.3">
      <c r="B76" s="93"/>
      <c r="C76" s="73"/>
      <c r="D76" s="11">
        <v>11</v>
      </c>
      <c r="E76" s="12">
        <f t="shared" si="5"/>
        <v>81940.753550136986</v>
      </c>
      <c r="F76" s="78"/>
      <c r="G76" s="13"/>
    </row>
    <row r="77" spans="2:7" x14ac:dyDescent="0.3">
      <c r="B77" s="92"/>
      <c r="C77" s="74"/>
      <c r="D77" s="11">
        <v>12</v>
      </c>
      <c r="E77" s="12">
        <f t="shared" si="5"/>
        <v>164932.02958168599</v>
      </c>
      <c r="F77" s="78"/>
      <c r="G77" s="13"/>
    </row>
    <row r="78" spans="2:7" x14ac:dyDescent="0.3">
      <c r="B78" s="91">
        <v>2032</v>
      </c>
      <c r="C78" s="72">
        <v>300000.22205669258</v>
      </c>
      <c r="D78" s="11">
        <v>1</v>
      </c>
      <c r="E78" s="12">
        <f t="shared" ref="E78:E89" si="6">$C$78*I6</f>
        <v>0</v>
      </c>
      <c r="F78" s="78" t="s">
        <v>12</v>
      </c>
      <c r="G78" s="13"/>
    </row>
    <row r="79" spans="2:7" x14ac:dyDescent="0.3">
      <c r="B79" s="93"/>
      <c r="C79" s="73"/>
      <c r="D79" s="11">
        <v>2</v>
      </c>
      <c r="E79" s="12">
        <f t="shared" si="6"/>
        <v>68556.565632665937</v>
      </c>
      <c r="F79" s="78"/>
      <c r="G79" s="13"/>
    </row>
    <row r="80" spans="2:7" x14ac:dyDescent="0.3">
      <c r="B80" s="93"/>
      <c r="C80" s="73"/>
      <c r="D80" s="11">
        <v>3</v>
      </c>
      <c r="E80" s="12">
        <f t="shared" si="6"/>
        <v>0</v>
      </c>
      <c r="F80" s="78"/>
      <c r="G80" s="13"/>
    </row>
    <row r="81" spans="2:7" x14ac:dyDescent="0.3">
      <c r="B81" s="93"/>
      <c r="C81" s="73"/>
      <c r="D81" s="11">
        <v>4</v>
      </c>
      <c r="E81" s="12">
        <f t="shared" si="6"/>
        <v>0</v>
      </c>
      <c r="F81" s="78"/>
      <c r="G81" s="13"/>
    </row>
    <row r="82" spans="2:7" x14ac:dyDescent="0.3">
      <c r="B82" s="93"/>
      <c r="C82" s="73"/>
      <c r="D82" s="11">
        <v>5</v>
      </c>
      <c r="E82" s="12">
        <f t="shared" si="6"/>
        <v>0</v>
      </c>
      <c r="F82" s="78"/>
      <c r="G82" s="13"/>
    </row>
    <row r="83" spans="2:7" x14ac:dyDescent="0.3">
      <c r="B83" s="93"/>
      <c r="C83" s="73"/>
      <c r="D83" s="11">
        <v>6</v>
      </c>
      <c r="E83" s="12">
        <f t="shared" si="6"/>
        <v>0</v>
      </c>
      <c r="F83" s="78"/>
      <c r="G83" s="13"/>
    </row>
    <row r="84" spans="2:7" x14ac:dyDescent="0.3">
      <c r="B84" s="93"/>
      <c r="C84" s="73"/>
      <c r="D84" s="11">
        <v>7</v>
      </c>
      <c r="E84" s="12">
        <f t="shared" si="6"/>
        <v>0</v>
      </c>
      <c r="F84" s="78"/>
      <c r="G84" s="13"/>
    </row>
    <row r="85" spans="2:7" x14ac:dyDescent="0.3">
      <c r="B85" s="93"/>
      <c r="C85" s="73"/>
      <c r="D85" s="11">
        <v>8</v>
      </c>
      <c r="E85" s="12">
        <f t="shared" si="6"/>
        <v>0</v>
      </c>
      <c r="F85" s="78"/>
      <c r="G85" s="13"/>
    </row>
    <row r="86" spans="2:7" x14ac:dyDescent="0.3">
      <c r="B86" s="93"/>
      <c r="C86" s="73"/>
      <c r="D86" s="11">
        <v>9</v>
      </c>
      <c r="E86" s="12">
        <f t="shared" si="6"/>
        <v>0</v>
      </c>
      <c r="F86" s="78"/>
      <c r="G86" s="13"/>
    </row>
    <row r="87" spans="2:7" x14ac:dyDescent="0.3">
      <c r="B87" s="93"/>
      <c r="C87" s="73"/>
      <c r="D87" s="11">
        <v>10</v>
      </c>
      <c r="E87" s="12">
        <f t="shared" si="6"/>
        <v>0</v>
      </c>
      <c r="F87" s="78"/>
      <c r="G87" s="13"/>
    </row>
    <row r="88" spans="2:7" x14ac:dyDescent="0.3">
      <c r="B88" s="93"/>
      <c r="C88" s="73"/>
      <c r="D88" s="11">
        <v>11</v>
      </c>
      <c r="E88" s="12">
        <f t="shared" si="6"/>
        <v>76819.596600315228</v>
      </c>
      <c r="F88" s="78"/>
      <c r="G88" s="13"/>
    </row>
    <row r="89" spans="2:7" x14ac:dyDescent="0.3">
      <c r="B89" s="92"/>
      <c r="C89" s="74"/>
      <c r="D89" s="11">
        <v>12</v>
      </c>
      <c r="E89" s="12">
        <f t="shared" si="6"/>
        <v>154624.05982371143</v>
      </c>
      <c r="F89" s="78"/>
      <c r="G89" s="13"/>
    </row>
    <row r="90" spans="2:7" x14ac:dyDescent="0.3">
      <c r="B90" s="91">
        <v>2033</v>
      </c>
      <c r="C90" s="72">
        <v>300000.455166</v>
      </c>
      <c r="D90" s="11">
        <v>1</v>
      </c>
      <c r="E90" s="12">
        <f t="shared" ref="E90:E101" si="7">$C$90*I6</f>
        <v>0</v>
      </c>
      <c r="F90" s="78" t="s">
        <v>12</v>
      </c>
      <c r="G90" s="13"/>
    </row>
    <row r="91" spans="2:7" x14ac:dyDescent="0.3">
      <c r="B91" s="93"/>
      <c r="C91" s="73"/>
      <c r="D91" s="11">
        <v>2</v>
      </c>
      <c r="E91" s="12">
        <f t="shared" si="7"/>
        <v>68556.618903204944</v>
      </c>
      <c r="F91" s="78"/>
      <c r="G91" s="13"/>
    </row>
    <row r="92" spans="2:7" x14ac:dyDescent="0.3">
      <c r="B92" s="93"/>
      <c r="C92" s="73"/>
      <c r="D92" s="11">
        <v>3</v>
      </c>
      <c r="E92" s="12">
        <f t="shared" si="7"/>
        <v>0</v>
      </c>
      <c r="F92" s="78"/>
      <c r="G92" s="13"/>
    </row>
    <row r="93" spans="2:7" x14ac:dyDescent="0.3">
      <c r="B93" s="93"/>
      <c r="C93" s="73"/>
      <c r="D93" s="11">
        <v>4</v>
      </c>
      <c r="E93" s="12">
        <f t="shared" si="7"/>
        <v>0</v>
      </c>
      <c r="F93" s="78"/>
      <c r="G93" s="13"/>
    </row>
    <row r="94" spans="2:7" x14ac:dyDescent="0.3">
      <c r="B94" s="93"/>
      <c r="C94" s="73"/>
      <c r="D94" s="11">
        <v>5</v>
      </c>
      <c r="E94" s="12">
        <f t="shared" si="7"/>
        <v>0</v>
      </c>
      <c r="F94" s="78"/>
      <c r="G94" s="13"/>
    </row>
    <row r="95" spans="2:7" x14ac:dyDescent="0.3">
      <c r="B95" s="93"/>
      <c r="C95" s="73"/>
      <c r="D95" s="11">
        <v>6</v>
      </c>
      <c r="E95" s="12">
        <f t="shared" si="7"/>
        <v>0</v>
      </c>
      <c r="F95" s="78"/>
      <c r="G95" s="13"/>
    </row>
    <row r="96" spans="2:7" x14ac:dyDescent="0.3">
      <c r="B96" s="93"/>
      <c r="C96" s="73"/>
      <c r="D96" s="11">
        <v>7</v>
      </c>
      <c r="E96" s="12">
        <f t="shared" si="7"/>
        <v>0</v>
      </c>
      <c r="F96" s="78"/>
      <c r="G96" s="13"/>
    </row>
    <row r="97" spans="2:7" x14ac:dyDescent="0.3">
      <c r="B97" s="93"/>
      <c r="C97" s="73"/>
      <c r="D97" s="11">
        <v>8</v>
      </c>
      <c r="E97" s="12">
        <f t="shared" si="7"/>
        <v>0</v>
      </c>
      <c r="F97" s="78"/>
      <c r="G97" s="13"/>
    </row>
    <row r="98" spans="2:7" x14ac:dyDescent="0.3">
      <c r="B98" s="93"/>
      <c r="C98" s="73"/>
      <c r="D98" s="11">
        <v>9</v>
      </c>
      <c r="E98" s="12">
        <f t="shared" si="7"/>
        <v>0</v>
      </c>
      <c r="F98" s="78"/>
      <c r="G98" s="13"/>
    </row>
    <row r="99" spans="2:7" x14ac:dyDescent="0.3">
      <c r="B99" s="93"/>
      <c r="C99" s="73"/>
      <c r="D99" s="11">
        <v>10</v>
      </c>
      <c r="E99" s="12">
        <f t="shared" si="7"/>
        <v>0</v>
      </c>
      <c r="F99" s="78"/>
      <c r="G99" s="13"/>
    </row>
    <row r="100" spans="2:7" x14ac:dyDescent="0.3">
      <c r="B100" s="93"/>
      <c r="C100" s="73"/>
      <c r="D100" s="11">
        <v>11</v>
      </c>
      <c r="E100" s="12">
        <f t="shared" si="7"/>
        <v>76819.656291480918</v>
      </c>
      <c r="F100" s="78"/>
      <c r="G100" s="13"/>
    </row>
    <row r="101" spans="2:7" x14ac:dyDescent="0.3">
      <c r="B101" s="92"/>
      <c r="C101" s="74"/>
      <c r="D101" s="11">
        <v>12</v>
      </c>
      <c r="E101" s="12">
        <f t="shared" si="7"/>
        <v>154624.17997131415</v>
      </c>
      <c r="F101" s="78"/>
      <c r="G101" s="13"/>
    </row>
    <row r="102" spans="2:7" x14ac:dyDescent="0.3">
      <c r="B102" s="91">
        <v>2034</v>
      </c>
      <c r="C102" s="72">
        <v>299999.72666026617</v>
      </c>
      <c r="D102" s="11">
        <v>1</v>
      </c>
      <c r="E102" s="12">
        <f t="shared" ref="E102:E113" si="8">$C$102*I6</f>
        <v>0</v>
      </c>
      <c r="F102" s="78" t="s">
        <v>12</v>
      </c>
      <c r="G102" s="13"/>
    </row>
    <row r="103" spans="2:7" x14ac:dyDescent="0.3">
      <c r="B103" s="93"/>
      <c r="C103" s="73"/>
      <c r="D103" s="11">
        <v>2</v>
      </c>
      <c r="E103" s="12">
        <f t="shared" si="8"/>
        <v>68556.452423824332</v>
      </c>
      <c r="F103" s="78"/>
      <c r="G103" s="13"/>
    </row>
    <row r="104" spans="2:7" x14ac:dyDescent="0.3">
      <c r="B104" s="93"/>
      <c r="C104" s="73"/>
      <c r="D104" s="11">
        <v>3</v>
      </c>
      <c r="E104" s="12">
        <f t="shared" si="8"/>
        <v>0</v>
      </c>
      <c r="F104" s="78"/>
      <c r="G104" s="13"/>
    </row>
    <row r="105" spans="2:7" x14ac:dyDescent="0.3">
      <c r="B105" s="93"/>
      <c r="C105" s="73"/>
      <c r="D105" s="11">
        <v>4</v>
      </c>
      <c r="E105" s="12">
        <f t="shared" si="8"/>
        <v>0</v>
      </c>
      <c r="F105" s="78"/>
      <c r="G105" s="13"/>
    </row>
    <row r="106" spans="2:7" x14ac:dyDescent="0.3">
      <c r="B106" s="93"/>
      <c r="C106" s="73"/>
      <c r="D106" s="11">
        <v>5</v>
      </c>
      <c r="E106" s="12">
        <f t="shared" si="8"/>
        <v>0</v>
      </c>
      <c r="F106" s="78"/>
      <c r="G106" s="13"/>
    </row>
    <row r="107" spans="2:7" x14ac:dyDescent="0.3">
      <c r="B107" s="93"/>
      <c r="C107" s="73"/>
      <c r="D107" s="11">
        <v>6</v>
      </c>
      <c r="E107" s="12">
        <f t="shared" si="8"/>
        <v>0</v>
      </c>
      <c r="F107" s="78"/>
      <c r="G107" s="13"/>
    </row>
    <row r="108" spans="2:7" x14ac:dyDescent="0.3">
      <c r="B108" s="93"/>
      <c r="C108" s="73"/>
      <c r="D108" s="11">
        <v>7</v>
      </c>
      <c r="E108" s="12">
        <f t="shared" si="8"/>
        <v>0</v>
      </c>
      <c r="F108" s="78"/>
      <c r="G108" s="13"/>
    </row>
    <row r="109" spans="2:7" x14ac:dyDescent="0.3">
      <c r="B109" s="93"/>
      <c r="C109" s="73"/>
      <c r="D109" s="11">
        <v>8</v>
      </c>
      <c r="E109" s="12">
        <f t="shared" si="8"/>
        <v>0</v>
      </c>
      <c r="F109" s="78"/>
      <c r="G109" s="13"/>
    </row>
    <row r="110" spans="2:7" x14ac:dyDescent="0.3">
      <c r="B110" s="93"/>
      <c r="C110" s="73"/>
      <c r="D110" s="11">
        <v>9</v>
      </c>
      <c r="E110" s="12">
        <f t="shared" si="8"/>
        <v>0</v>
      </c>
      <c r="F110" s="78"/>
      <c r="G110" s="13"/>
    </row>
    <row r="111" spans="2:7" x14ac:dyDescent="0.3">
      <c r="B111" s="93"/>
      <c r="C111" s="73"/>
      <c r="D111" s="11">
        <v>10</v>
      </c>
      <c r="E111" s="12">
        <f t="shared" si="8"/>
        <v>0</v>
      </c>
      <c r="F111" s="78"/>
      <c r="G111" s="13"/>
    </row>
    <row r="112" spans="2:7" x14ac:dyDescent="0.3">
      <c r="B112" s="93"/>
      <c r="C112" s="73"/>
      <c r="D112" s="11">
        <v>11</v>
      </c>
      <c r="E112" s="12">
        <f t="shared" si="8"/>
        <v>76819.469746563685</v>
      </c>
      <c r="F112" s="78"/>
      <c r="G112" s="13"/>
    </row>
    <row r="113" spans="2:7" x14ac:dyDescent="0.3">
      <c r="B113" s="92"/>
      <c r="C113" s="74"/>
      <c r="D113" s="11">
        <v>12</v>
      </c>
      <c r="E113" s="12">
        <f t="shared" si="8"/>
        <v>154623.80448987818</v>
      </c>
      <c r="F113" s="78"/>
      <c r="G113" s="13"/>
    </row>
    <row r="114" spans="2:7" x14ac:dyDescent="0.3">
      <c r="B114" s="91">
        <v>2035</v>
      </c>
      <c r="C114" s="72">
        <v>300000</v>
      </c>
      <c r="D114" s="11">
        <v>1</v>
      </c>
      <c r="E114" s="12">
        <f t="shared" ref="E114:E125" si="9">$C$114*I6</f>
        <v>0</v>
      </c>
      <c r="F114" s="78" t="s">
        <v>12</v>
      </c>
      <c r="G114" s="13"/>
    </row>
    <row r="115" spans="2:7" x14ac:dyDescent="0.3">
      <c r="B115" s="93"/>
      <c r="C115" s="73"/>
      <c r="D115" s="11">
        <v>2</v>
      </c>
      <c r="E115" s="12">
        <f t="shared" si="9"/>
        <v>68556.51488788944</v>
      </c>
      <c r="F115" s="78"/>
      <c r="G115" s="13"/>
    </row>
    <row r="116" spans="2:7" x14ac:dyDescent="0.3">
      <c r="B116" s="93"/>
      <c r="C116" s="73"/>
      <c r="D116" s="11">
        <v>3</v>
      </c>
      <c r="E116" s="12">
        <f t="shared" si="9"/>
        <v>0</v>
      </c>
      <c r="F116" s="78"/>
      <c r="G116" s="13"/>
    </row>
    <row r="117" spans="2:7" x14ac:dyDescent="0.3">
      <c r="B117" s="93"/>
      <c r="C117" s="73"/>
      <c r="D117" s="11">
        <v>4</v>
      </c>
      <c r="E117" s="12">
        <f t="shared" si="9"/>
        <v>0</v>
      </c>
      <c r="F117" s="78"/>
      <c r="G117" s="13"/>
    </row>
    <row r="118" spans="2:7" x14ac:dyDescent="0.3">
      <c r="B118" s="93"/>
      <c r="C118" s="73"/>
      <c r="D118" s="11">
        <v>5</v>
      </c>
      <c r="E118" s="12">
        <f t="shared" si="9"/>
        <v>0</v>
      </c>
      <c r="F118" s="78"/>
      <c r="G118" s="13"/>
    </row>
    <row r="119" spans="2:7" x14ac:dyDescent="0.3">
      <c r="B119" s="93"/>
      <c r="C119" s="73"/>
      <c r="D119" s="11">
        <v>6</v>
      </c>
      <c r="E119" s="12">
        <f t="shared" si="9"/>
        <v>0</v>
      </c>
      <c r="F119" s="78"/>
      <c r="G119" s="13"/>
    </row>
    <row r="120" spans="2:7" x14ac:dyDescent="0.3">
      <c r="B120" s="93"/>
      <c r="C120" s="73"/>
      <c r="D120" s="11">
        <v>7</v>
      </c>
      <c r="E120" s="12">
        <f t="shared" si="9"/>
        <v>0</v>
      </c>
      <c r="F120" s="78"/>
      <c r="G120" s="13"/>
    </row>
    <row r="121" spans="2:7" x14ac:dyDescent="0.3">
      <c r="B121" s="93"/>
      <c r="C121" s="73"/>
      <c r="D121" s="11">
        <v>8</v>
      </c>
      <c r="E121" s="12">
        <f t="shared" si="9"/>
        <v>0</v>
      </c>
      <c r="F121" s="78"/>
      <c r="G121" s="13"/>
    </row>
    <row r="122" spans="2:7" x14ac:dyDescent="0.3">
      <c r="B122" s="93"/>
      <c r="C122" s="73"/>
      <c r="D122" s="11">
        <v>9</v>
      </c>
      <c r="E122" s="12">
        <f t="shared" si="9"/>
        <v>0</v>
      </c>
      <c r="F122" s="78"/>
      <c r="G122" s="13"/>
    </row>
    <row r="123" spans="2:7" x14ac:dyDescent="0.3">
      <c r="B123" s="93"/>
      <c r="C123" s="73"/>
      <c r="D123" s="11">
        <v>10</v>
      </c>
      <c r="E123" s="12">
        <f t="shared" si="9"/>
        <v>0</v>
      </c>
      <c r="F123" s="78"/>
      <c r="G123" s="13"/>
    </row>
    <row r="124" spans="2:7" x14ac:dyDescent="0.3">
      <c r="B124" s="93"/>
      <c r="C124" s="73"/>
      <c r="D124" s="11">
        <v>11</v>
      </c>
      <c r="E124" s="12">
        <f t="shared" si="9"/>
        <v>76819.539739338827</v>
      </c>
      <c r="F124" s="78"/>
      <c r="G124" s="13"/>
    </row>
    <row r="125" spans="2:7" x14ac:dyDescent="0.3">
      <c r="B125" s="92"/>
      <c r="C125" s="74"/>
      <c r="D125" s="11">
        <v>12</v>
      </c>
      <c r="E125" s="12">
        <f t="shared" si="9"/>
        <v>154623.94537277173</v>
      </c>
      <c r="F125" s="78"/>
      <c r="G125" s="13"/>
    </row>
    <row r="126" spans="2:7" x14ac:dyDescent="0.3">
      <c r="B126" s="91">
        <v>2036</v>
      </c>
      <c r="C126" s="72">
        <v>300000</v>
      </c>
      <c r="D126" s="11">
        <v>1</v>
      </c>
      <c r="E126" s="12">
        <f t="shared" ref="E126:E137" si="10">$C$126*I6</f>
        <v>0</v>
      </c>
      <c r="F126" s="78" t="s">
        <v>11</v>
      </c>
      <c r="G126" s="13"/>
    </row>
    <row r="127" spans="2:7" x14ac:dyDescent="0.3">
      <c r="B127" s="93"/>
      <c r="C127" s="73"/>
      <c r="D127" s="11">
        <v>2</v>
      </c>
      <c r="E127" s="12">
        <f t="shared" si="10"/>
        <v>68556.51488788944</v>
      </c>
      <c r="F127" s="78"/>
      <c r="G127" s="13"/>
    </row>
    <row r="128" spans="2:7" x14ac:dyDescent="0.3">
      <c r="B128" s="93"/>
      <c r="C128" s="73"/>
      <c r="D128" s="11">
        <v>3</v>
      </c>
      <c r="E128" s="12">
        <f t="shared" si="10"/>
        <v>0</v>
      </c>
      <c r="F128" s="78"/>
      <c r="G128" s="13"/>
    </row>
    <row r="129" spans="2:7" x14ac:dyDescent="0.3">
      <c r="B129" s="93"/>
      <c r="C129" s="73"/>
      <c r="D129" s="11">
        <v>4</v>
      </c>
      <c r="E129" s="12">
        <f t="shared" si="10"/>
        <v>0</v>
      </c>
      <c r="F129" s="78"/>
      <c r="G129" s="13"/>
    </row>
    <row r="130" spans="2:7" x14ac:dyDescent="0.3">
      <c r="B130" s="93"/>
      <c r="C130" s="73"/>
      <c r="D130" s="11">
        <v>5</v>
      </c>
      <c r="E130" s="12">
        <f t="shared" si="10"/>
        <v>0</v>
      </c>
      <c r="F130" s="78"/>
      <c r="G130" s="13"/>
    </row>
    <row r="131" spans="2:7" x14ac:dyDescent="0.3">
      <c r="B131" s="93"/>
      <c r="C131" s="73"/>
      <c r="D131" s="11">
        <v>6</v>
      </c>
      <c r="E131" s="12">
        <f t="shared" si="10"/>
        <v>0</v>
      </c>
      <c r="F131" s="78"/>
      <c r="G131" s="13"/>
    </row>
    <row r="132" spans="2:7" x14ac:dyDescent="0.3">
      <c r="B132" s="93"/>
      <c r="C132" s="73"/>
      <c r="D132" s="11">
        <v>7</v>
      </c>
      <c r="E132" s="12">
        <f t="shared" si="10"/>
        <v>0</v>
      </c>
      <c r="F132" s="78"/>
      <c r="G132" s="13"/>
    </row>
    <row r="133" spans="2:7" x14ac:dyDescent="0.3">
      <c r="B133" s="93"/>
      <c r="C133" s="73"/>
      <c r="D133" s="11">
        <v>8</v>
      </c>
      <c r="E133" s="12">
        <f t="shared" si="10"/>
        <v>0</v>
      </c>
      <c r="F133" s="78"/>
      <c r="G133" s="13"/>
    </row>
    <row r="134" spans="2:7" x14ac:dyDescent="0.3">
      <c r="B134" s="93"/>
      <c r="C134" s="73"/>
      <c r="D134" s="11">
        <v>9</v>
      </c>
      <c r="E134" s="12">
        <f t="shared" si="10"/>
        <v>0</v>
      </c>
      <c r="F134" s="78"/>
      <c r="G134" s="13"/>
    </row>
    <row r="135" spans="2:7" x14ac:dyDescent="0.3">
      <c r="B135" s="93"/>
      <c r="C135" s="73"/>
      <c r="D135" s="11">
        <v>10</v>
      </c>
      <c r="E135" s="12">
        <f t="shared" si="10"/>
        <v>0</v>
      </c>
      <c r="F135" s="78"/>
      <c r="G135" s="13"/>
    </row>
    <row r="136" spans="2:7" x14ac:dyDescent="0.3">
      <c r="B136" s="93"/>
      <c r="C136" s="73"/>
      <c r="D136" s="11">
        <v>11</v>
      </c>
      <c r="E136" s="12">
        <f t="shared" si="10"/>
        <v>76819.539739338827</v>
      </c>
      <c r="F136" s="78"/>
      <c r="G136" s="13"/>
    </row>
    <row r="137" spans="2:7" x14ac:dyDescent="0.3">
      <c r="B137" s="92"/>
      <c r="C137" s="74"/>
      <c r="D137" s="11">
        <v>12</v>
      </c>
      <c r="E137" s="12">
        <f t="shared" si="10"/>
        <v>154623.94537277173</v>
      </c>
      <c r="F137" s="78"/>
      <c r="G137" s="13"/>
    </row>
    <row r="138" spans="2:7" x14ac:dyDescent="0.3">
      <c r="B138" s="91">
        <v>2037</v>
      </c>
      <c r="C138" s="72">
        <v>300000</v>
      </c>
      <c r="D138" s="11">
        <v>1</v>
      </c>
      <c r="E138" s="12">
        <f t="shared" ref="E138:E149" si="11">$C$138*I6</f>
        <v>0</v>
      </c>
      <c r="F138" s="78" t="s">
        <v>12</v>
      </c>
      <c r="G138" s="13"/>
    </row>
    <row r="139" spans="2:7" x14ac:dyDescent="0.3">
      <c r="B139" s="93"/>
      <c r="C139" s="73"/>
      <c r="D139" s="11">
        <v>2</v>
      </c>
      <c r="E139" s="12">
        <f t="shared" si="11"/>
        <v>68556.51488788944</v>
      </c>
      <c r="F139" s="78"/>
      <c r="G139" s="13"/>
    </row>
    <row r="140" spans="2:7" x14ac:dyDescent="0.3">
      <c r="B140" s="93"/>
      <c r="C140" s="73"/>
      <c r="D140" s="11">
        <v>3</v>
      </c>
      <c r="E140" s="12">
        <f t="shared" si="11"/>
        <v>0</v>
      </c>
      <c r="F140" s="78"/>
      <c r="G140" s="13"/>
    </row>
    <row r="141" spans="2:7" x14ac:dyDescent="0.3">
      <c r="B141" s="93"/>
      <c r="C141" s="73"/>
      <c r="D141" s="11">
        <v>4</v>
      </c>
      <c r="E141" s="12">
        <f t="shared" si="11"/>
        <v>0</v>
      </c>
      <c r="F141" s="78"/>
      <c r="G141" s="13"/>
    </row>
    <row r="142" spans="2:7" x14ac:dyDescent="0.3">
      <c r="B142" s="93"/>
      <c r="C142" s="73"/>
      <c r="D142" s="11">
        <v>5</v>
      </c>
      <c r="E142" s="12">
        <f t="shared" si="11"/>
        <v>0</v>
      </c>
      <c r="F142" s="78"/>
      <c r="G142" s="13"/>
    </row>
    <row r="143" spans="2:7" x14ac:dyDescent="0.3">
      <c r="B143" s="93"/>
      <c r="C143" s="73"/>
      <c r="D143" s="11">
        <v>6</v>
      </c>
      <c r="E143" s="12">
        <f t="shared" si="11"/>
        <v>0</v>
      </c>
      <c r="F143" s="78"/>
      <c r="G143" s="13"/>
    </row>
    <row r="144" spans="2:7" x14ac:dyDescent="0.3">
      <c r="B144" s="93"/>
      <c r="C144" s="73"/>
      <c r="D144" s="11">
        <v>7</v>
      </c>
      <c r="E144" s="12">
        <f t="shared" si="11"/>
        <v>0</v>
      </c>
      <c r="F144" s="78"/>
      <c r="G144" s="13"/>
    </row>
    <row r="145" spans="2:7" x14ac:dyDescent="0.3">
      <c r="B145" s="93"/>
      <c r="C145" s="73"/>
      <c r="D145" s="11">
        <v>8</v>
      </c>
      <c r="E145" s="12">
        <f t="shared" si="11"/>
        <v>0</v>
      </c>
      <c r="F145" s="78"/>
      <c r="G145" s="13"/>
    </row>
    <row r="146" spans="2:7" x14ac:dyDescent="0.3">
      <c r="B146" s="93"/>
      <c r="C146" s="73"/>
      <c r="D146" s="11">
        <v>9</v>
      </c>
      <c r="E146" s="12">
        <f t="shared" si="11"/>
        <v>0</v>
      </c>
      <c r="F146" s="78"/>
      <c r="G146" s="13"/>
    </row>
    <row r="147" spans="2:7" x14ac:dyDescent="0.3">
      <c r="B147" s="93"/>
      <c r="C147" s="73"/>
      <c r="D147" s="11">
        <v>10</v>
      </c>
      <c r="E147" s="12">
        <f t="shared" si="11"/>
        <v>0</v>
      </c>
      <c r="F147" s="78"/>
      <c r="G147" s="13"/>
    </row>
    <row r="148" spans="2:7" x14ac:dyDescent="0.3">
      <c r="B148" s="93"/>
      <c r="C148" s="73"/>
      <c r="D148" s="11">
        <v>11</v>
      </c>
      <c r="E148" s="12">
        <f t="shared" si="11"/>
        <v>76819.539739338827</v>
      </c>
      <c r="F148" s="78"/>
      <c r="G148" s="13"/>
    </row>
    <row r="149" spans="2:7" x14ac:dyDescent="0.3">
      <c r="B149" s="92"/>
      <c r="C149" s="74"/>
      <c r="D149" s="11">
        <v>12</v>
      </c>
      <c r="E149" s="12">
        <f t="shared" si="11"/>
        <v>154623.94537277173</v>
      </c>
      <c r="F149" s="78"/>
      <c r="G149" s="13"/>
    </row>
    <row r="150" spans="2:7" x14ac:dyDescent="0.3">
      <c r="B150" s="91">
        <v>2038</v>
      </c>
      <c r="C150" s="72">
        <v>265000</v>
      </c>
      <c r="D150" s="11">
        <v>1</v>
      </c>
      <c r="E150" s="12">
        <f t="shared" ref="E150:E161" si="12">$C$150*I6</f>
        <v>0</v>
      </c>
      <c r="F150" s="78" t="s">
        <v>12</v>
      </c>
      <c r="G150" s="13"/>
    </row>
    <row r="151" spans="2:7" x14ac:dyDescent="0.3">
      <c r="B151" s="93"/>
      <c r="C151" s="73"/>
      <c r="D151" s="11">
        <v>2</v>
      </c>
      <c r="E151" s="12">
        <f t="shared" si="12"/>
        <v>60558.254817635665</v>
      </c>
      <c r="F151" s="78"/>
      <c r="G151" s="13"/>
    </row>
    <row r="152" spans="2:7" x14ac:dyDescent="0.3">
      <c r="B152" s="93"/>
      <c r="C152" s="73"/>
      <c r="D152" s="11">
        <v>3</v>
      </c>
      <c r="E152" s="12">
        <f t="shared" si="12"/>
        <v>0</v>
      </c>
      <c r="F152" s="78"/>
      <c r="G152" s="13"/>
    </row>
    <row r="153" spans="2:7" x14ac:dyDescent="0.3">
      <c r="B153" s="93"/>
      <c r="C153" s="73"/>
      <c r="D153" s="11">
        <v>4</v>
      </c>
      <c r="E153" s="12">
        <f t="shared" si="12"/>
        <v>0</v>
      </c>
      <c r="F153" s="78"/>
      <c r="G153" s="13"/>
    </row>
    <row r="154" spans="2:7" x14ac:dyDescent="0.3">
      <c r="B154" s="93"/>
      <c r="C154" s="73"/>
      <c r="D154" s="11">
        <v>5</v>
      </c>
      <c r="E154" s="12">
        <f t="shared" si="12"/>
        <v>0</v>
      </c>
      <c r="F154" s="78"/>
      <c r="G154" s="13"/>
    </row>
    <row r="155" spans="2:7" x14ac:dyDescent="0.3">
      <c r="B155" s="93"/>
      <c r="C155" s="73"/>
      <c r="D155" s="11">
        <v>6</v>
      </c>
      <c r="E155" s="12">
        <f t="shared" si="12"/>
        <v>0</v>
      </c>
      <c r="F155" s="78"/>
      <c r="G155" s="13"/>
    </row>
    <row r="156" spans="2:7" x14ac:dyDescent="0.3">
      <c r="B156" s="93"/>
      <c r="C156" s="73"/>
      <c r="D156" s="11">
        <v>7</v>
      </c>
      <c r="E156" s="12">
        <f t="shared" si="12"/>
        <v>0</v>
      </c>
      <c r="F156" s="78"/>
      <c r="G156" s="13"/>
    </row>
    <row r="157" spans="2:7" x14ac:dyDescent="0.3">
      <c r="B157" s="93"/>
      <c r="C157" s="73"/>
      <c r="D157" s="11">
        <v>8</v>
      </c>
      <c r="E157" s="12">
        <f t="shared" si="12"/>
        <v>0</v>
      </c>
      <c r="F157" s="78"/>
      <c r="G157" s="13"/>
    </row>
    <row r="158" spans="2:7" x14ac:dyDescent="0.3">
      <c r="B158" s="93"/>
      <c r="C158" s="73"/>
      <c r="D158" s="11">
        <v>9</v>
      </c>
      <c r="E158" s="12">
        <f t="shared" si="12"/>
        <v>0</v>
      </c>
      <c r="F158" s="78"/>
      <c r="G158" s="13"/>
    </row>
    <row r="159" spans="2:7" x14ac:dyDescent="0.3">
      <c r="B159" s="93"/>
      <c r="C159" s="73"/>
      <c r="D159" s="11">
        <v>10</v>
      </c>
      <c r="E159" s="12">
        <f t="shared" si="12"/>
        <v>0</v>
      </c>
      <c r="F159" s="78"/>
      <c r="G159" s="13"/>
    </row>
    <row r="160" spans="2:7" x14ac:dyDescent="0.3">
      <c r="B160" s="93"/>
      <c r="C160" s="73"/>
      <c r="D160" s="11">
        <v>11</v>
      </c>
      <c r="E160" s="12">
        <f t="shared" si="12"/>
        <v>67857.260103082634</v>
      </c>
      <c r="F160" s="78"/>
      <c r="G160" s="13"/>
    </row>
    <row r="161" spans="2:7" x14ac:dyDescent="0.3">
      <c r="B161" s="92"/>
      <c r="C161" s="74"/>
      <c r="D161" s="11">
        <v>12</v>
      </c>
      <c r="E161" s="12">
        <f t="shared" si="12"/>
        <v>136584.4850792817</v>
      </c>
      <c r="F161" s="78"/>
      <c r="G161" s="13"/>
    </row>
    <row r="162" spans="2:7" x14ac:dyDescent="0.3">
      <c r="B162" s="91">
        <v>2039</v>
      </c>
      <c r="C162" s="72">
        <v>210000</v>
      </c>
      <c r="D162" s="11">
        <v>1</v>
      </c>
      <c r="E162" s="12">
        <f t="shared" ref="E162:E173" si="13">$C$162*I6</f>
        <v>0</v>
      </c>
      <c r="F162" s="78" t="s">
        <v>12</v>
      </c>
      <c r="G162" s="13"/>
    </row>
    <row r="163" spans="2:7" x14ac:dyDescent="0.3">
      <c r="B163" s="93"/>
      <c r="C163" s="73"/>
      <c r="D163" s="11">
        <v>2</v>
      </c>
      <c r="E163" s="12">
        <f t="shared" si="13"/>
        <v>47989.560421522605</v>
      </c>
      <c r="F163" s="78"/>
      <c r="G163" s="13"/>
    </row>
    <row r="164" spans="2:7" x14ac:dyDescent="0.3">
      <c r="B164" s="93"/>
      <c r="C164" s="73"/>
      <c r="D164" s="11">
        <v>3</v>
      </c>
      <c r="E164" s="12">
        <f t="shared" si="13"/>
        <v>0</v>
      </c>
      <c r="F164" s="78"/>
      <c r="G164" s="13"/>
    </row>
    <row r="165" spans="2:7" x14ac:dyDescent="0.3">
      <c r="B165" s="93"/>
      <c r="C165" s="73"/>
      <c r="D165" s="11">
        <v>4</v>
      </c>
      <c r="E165" s="12">
        <f t="shared" si="13"/>
        <v>0</v>
      </c>
      <c r="F165" s="78"/>
      <c r="G165" s="13"/>
    </row>
    <row r="166" spans="2:7" x14ac:dyDescent="0.3">
      <c r="B166" s="93"/>
      <c r="C166" s="73"/>
      <c r="D166" s="11">
        <v>5</v>
      </c>
      <c r="E166" s="12">
        <f t="shared" si="13"/>
        <v>0</v>
      </c>
      <c r="F166" s="78"/>
      <c r="G166" s="13"/>
    </row>
    <row r="167" spans="2:7" x14ac:dyDescent="0.3">
      <c r="B167" s="93"/>
      <c r="C167" s="73"/>
      <c r="D167" s="11">
        <v>6</v>
      </c>
      <c r="E167" s="12">
        <f t="shared" si="13"/>
        <v>0</v>
      </c>
      <c r="F167" s="78"/>
      <c r="G167" s="13"/>
    </row>
    <row r="168" spans="2:7" x14ac:dyDescent="0.3">
      <c r="B168" s="93"/>
      <c r="C168" s="73"/>
      <c r="D168" s="11">
        <v>7</v>
      </c>
      <c r="E168" s="12">
        <f t="shared" si="13"/>
        <v>0</v>
      </c>
      <c r="F168" s="78"/>
      <c r="G168" s="13"/>
    </row>
    <row r="169" spans="2:7" x14ac:dyDescent="0.3">
      <c r="B169" s="93"/>
      <c r="C169" s="73"/>
      <c r="D169" s="11">
        <v>8</v>
      </c>
      <c r="E169" s="12">
        <f t="shared" si="13"/>
        <v>0</v>
      </c>
      <c r="F169" s="78"/>
      <c r="G169" s="13"/>
    </row>
    <row r="170" spans="2:7" x14ac:dyDescent="0.3">
      <c r="B170" s="93"/>
      <c r="C170" s="73"/>
      <c r="D170" s="11">
        <v>9</v>
      </c>
      <c r="E170" s="12">
        <f t="shared" si="13"/>
        <v>0</v>
      </c>
      <c r="F170" s="78"/>
      <c r="G170" s="13"/>
    </row>
    <row r="171" spans="2:7" x14ac:dyDescent="0.3">
      <c r="B171" s="93"/>
      <c r="C171" s="73"/>
      <c r="D171" s="11">
        <v>10</v>
      </c>
      <c r="E171" s="12">
        <f t="shared" si="13"/>
        <v>0</v>
      </c>
      <c r="F171" s="78"/>
      <c r="G171" s="13"/>
    </row>
    <row r="172" spans="2:7" x14ac:dyDescent="0.3">
      <c r="B172" s="93"/>
      <c r="C172" s="73"/>
      <c r="D172" s="11">
        <v>11</v>
      </c>
      <c r="E172" s="12">
        <f t="shared" si="13"/>
        <v>53773.67781753718</v>
      </c>
      <c r="F172" s="78"/>
      <c r="G172" s="13"/>
    </row>
    <row r="173" spans="2:7" x14ac:dyDescent="0.3">
      <c r="B173" s="92"/>
      <c r="C173" s="74"/>
      <c r="D173" s="11">
        <v>12</v>
      </c>
      <c r="E173" s="12">
        <f t="shared" si="13"/>
        <v>108236.76176094022</v>
      </c>
      <c r="F173" s="78"/>
      <c r="G173" s="13"/>
    </row>
    <row r="174" spans="2:7" ht="14" customHeight="1" x14ac:dyDescent="0.3">
      <c r="B174" s="95">
        <v>2040</v>
      </c>
      <c r="C174" s="81">
        <v>110000</v>
      </c>
      <c r="D174" s="11">
        <v>1</v>
      </c>
      <c r="E174" s="12">
        <f t="shared" ref="E174:E183" si="14">$C$174*I6</f>
        <v>0</v>
      </c>
      <c r="F174" s="76" t="s">
        <v>12</v>
      </c>
      <c r="G174" s="13"/>
    </row>
    <row r="175" spans="2:7" x14ac:dyDescent="0.3">
      <c r="B175" s="95"/>
      <c r="C175" s="81"/>
      <c r="D175" s="11">
        <v>2</v>
      </c>
      <c r="E175" s="12">
        <f t="shared" si="14"/>
        <v>25137.388792226124</v>
      </c>
      <c r="F175" s="82"/>
      <c r="G175" s="13"/>
    </row>
    <row r="176" spans="2:7" x14ac:dyDescent="0.3">
      <c r="B176" s="95"/>
      <c r="C176" s="81"/>
      <c r="D176" s="11">
        <v>3</v>
      </c>
      <c r="E176" s="12">
        <f t="shared" si="14"/>
        <v>0</v>
      </c>
      <c r="F176" s="82"/>
      <c r="G176" s="13"/>
    </row>
    <row r="177" spans="2:7" x14ac:dyDescent="0.3">
      <c r="B177" s="95"/>
      <c r="C177" s="81"/>
      <c r="D177" s="11">
        <v>4</v>
      </c>
      <c r="E177" s="12">
        <f t="shared" si="14"/>
        <v>0</v>
      </c>
      <c r="F177" s="82"/>
      <c r="G177" s="13"/>
    </row>
    <row r="178" spans="2:7" x14ac:dyDescent="0.3">
      <c r="B178" s="95"/>
      <c r="C178" s="81"/>
      <c r="D178" s="11">
        <v>5</v>
      </c>
      <c r="E178" s="12">
        <f t="shared" si="14"/>
        <v>0</v>
      </c>
      <c r="F178" s="82"/>
      <c r="G178" s="13"/>
    </row>
    <row r="179" spans="2:7" x14ac:dyDescent="0.3">
      <c r="B179" s="95"/>
      <c r="C179" s="81"/>
      <c r="D179" s="11">
        <v>6</v>
      </c>
      <c r="E179" s="12">
        <f t="shared" si="14"/>
        <v>0</v>
      </c>
      <c r="F179" s="82"/>
      <c r="G179" s="13"/>
    </row>
    <row r="180" spans="2:7" x14ac:dyDescent="0.3">
      <c r="B180" s="95"/>
      <c r="C180" s="81"/>
      <c r="D180" s="11">
        <v>7</v>
      </c>
      <c r="E180" s="12">
        <f t="shared" si="14"/>
        <v>0</v>
      </c>
      <c r="F180" s="82"/>
      <c r="G180" s="13"/>
    </row>
    <row r="181" spans="2:7" x14ac:dyDescent="0.3">
      <c r="B181" s="95"/>
      <c r="C181" s="81"/>
      <c r="D181" s="11">
        <v>8</v>
      </c>
      <c r="E181" s="12">
        <f t="shared" si="14"/>
        <v>0</v>
      </c>
      <c r="F181" s="82"/>
      <c r="G181" s="13"/>
    </row>
    <row r="182" spans="2:7" x14ac:dyDescent="0.3">
      <c r="B182" s="95"/>
      <c r="C182" s="81"/>
      <c r="D182" s="11">
        <v>9</v>
      </c>
      <c r="E182" s="12">
        <f t="shared" si="14"/>
        <v>0</v>
      </c>
      <c r="F182" s="82"/>
      <c r="G182" s="13"/>
    </row>
    <row r="183" spans="2:7" x14ac:dyDescent="0.3">
      <c r="B183" s="95"/>
      <c r="C183" s="81"/>
      <c r="D183" s="11">
        <v>10</v>
      </c>
      <c r="E183" s="12">
        <f t="shared" si="14"/>
        <v>0</v>
      </c>
      <c r="F183" s="77"/>
      <c r="G183" s="13"/>
    </row>
    <row r="184" spans="2:7" x14ac:dyDescent="0.3">
      <c r="F184" s="32"/>
    </row>
    <row r="185" spans="2:7" x14ac:dyDescent="0.3">
      <c r="F185" s="32"/>
    </row>
    <row r="186" spans="2:7" x14ac:dyDescent="0.3">
      <c r="F186" s="32"/>
    </row>
    <row r="187" spans="2:7" x14ac:dyDescent="0.3">
      <c r="F187" s="32"/>
    </row>
    <row r="188" spans="2:7" x14ac:dyDescent="0.3">
      <c r="F188" s="32"/>
    </row>
    <row r="189" spans="2:7" x14ac:dyDescent="0.3">
      <c r="F189" s="32"/>
    </row>
    <row r="190" spans="2:7" x14ac:dyDescent="0.3">
      <c r="F190" s="32"/>
    </row>
    <row r="191" spans="2:7" x14ac:dyDescent="0.3">
      <c r="F191" s="32"/>
    </row>
    <row r="192" spans="2:7" x14ac:dyDescent="0.3">
      <c r="F192" s="32"/>
    </row>
    <row r="193" spans="6:6" x14ac:dyDescent="0.3">
      <c r="F193" s="32"/>
    </row>
    <row r="194" spans="6:6" x14ac:dyDescent="0.3">
      <c r="F194" s="32"/>
    </row>
    <row r="195" spans="6:6" x14ac:dyDescent="0.3">
      <c r="F195" s="32"/>
    </row>
    <row r="196" spans="6:6" x14ac:dyDescent="0.3">
      <c r="F196" s="32"/>
    </row>
    <row r="197" spans="6:6" x14ac:dyDescent="0.3">
      <c r="F197" s="32"/>
    </row>
    <row r="198" spans="6:6" x14ac:dyDescent="0.3">
      <c r="F198" s="32"/>
    </row>
    <row r="199" spans="6:6" x14ac:dyDescent="0.3">
      <c r="F199" s="32"/>
    </row>
    <row r="200" spans="6:6" x14ac:dyDescent="0.3">
      <c r="F200" s="32"/>
    </row>
    <row r="201" spans="6:6" x14ac:dyDescent="0.3">
      <c r="F201" s="32"/>
    </row>
    <row r="202" spans="6:6" x14ac:dyDescent="0.3">
      <c r="F202" s="32"/>
    </row>
    <row r="203" spans="6:6" x14ac:dyDescent="0.3">
      <c r="F203" s="32"/>
    </row>
    <row r="204" spans="6:6" x14ac:dyDescent="0.3">
      <c r="F204" s="32"/>
    </row>
    <row r="205" spans="6:6" x14ac:dyDescent="0.3">
      <c r="F205" s="32"/>
    </row>
    <row r="206" spans="6:6" x14ac:dyDescent="0.3">
      <c r="F206" s="32"/>
    </row>
    <row r="207" spans="6:6" x14ac:dyDescent="0.3">
      <c r="F207" s="32"/>
    </row>
    <row r="208" spans="6:6" x14ac:dyDescent="0.3">
      <c r="F208" s="32"/>
    </row>
    <row r="209" spans="6:6" x14ac:dyDescent="0.3">
      <c r="F209" s="32"/>
    </row>
    <row r="210" spans="6:6" x14ac:dyDescent="0.3">
      <c r="F210" s="32"/>
    </row>
    <row r="211" spans="6:6" x14ac:dyDescent="0.3">
      <c r="F211" s="32"/>
    </row>
    <row r="212" spans="6:6" x14ac:dyDescent="0.3">
      <c r="F212" s="32"/>
    </row>
    <row r="213" spans="6:6" x14ac:dyDescent="0.3">
      <c r="F213" s="32"/>
    </row>
    <row r="214" spans="6:6" x14ac:dyDescent="0.3">
      <c r="F214" s="32"/>
    </row>
    <row r="215" spans="6:6" x14ac:dyDescent="0.3">
      <c r="F215" s="32"/>
    </row>
    <row r="216" spans="6:6" x14ac:dyDescent="0.3">
      <c r="F216" s="32"/>
    </row>
    <row r="217" spans="6:6" x14ac:dyDescent="0.3">
      <c r="F217" s="32"/>
    </row>
    <row r="218" spans="6:6" x14ac:dyDescent="0.3">
      <c r="F218" s="32"/>
    </row>
    <row r="219" spans="6:6" x14ac:dyDescent="0.3">
      <c r="F219" s="32"/>
    </row>
    <row r="220" spans="6:6" x14ac:dyDescent="0.3">
      <c r="F220" s="32"/>
    </row>
    <row r="221" spans="6:6" x14ac:dyDescent="0.3">
      <c r="F221" s="32"/>
    </row>
    <row r="222" spans="6:6" x14ac:dyDescent="0.3">
      <c r="F222" s="32"/>
    </row>
    <row r="223" spans="6:6" x14ac:dyDescent="0.3">
      <c r="F223" s="32"/>
    </row>
    <row r="224" spans="6:6" x14ac:dyDescent="0.3">
      <c r="F224" s="32"/>
    </row>
    <row r="225" spans="6:6" x14ac:dyDescent="0.3">
      <c r="F225" s="32"/>
    </row>
    <row r="226" spans="6:6" x14ac:dyDescent="0.3">
      <c r="F226" s="32"/>
    </row>
    <row r="227" spans="6:6" x14ac:dyDescent="0.3">
      <c r="F227" s="32"/>
    </row>
    <row r="228" spans="6:6" x14ac:dyDescent="0.3">
      <c r="F228" s="32"/>
    </row>
    <row r="229" spans="6:6" x14ac:dyDescent="0.3">
      <c r="F229" s="32"/>
    </row>
    <row r="230" spans="6:6" x14ac:dyDescent="0.3">
      <c r="F230" s="32"/>
    </row>
    <row r="231" spans="6:6" x14ac:dyDescent="0.3">
      <c r="F231" s="32"/>
    </row>
    <row r="232" spans="6:6" x14ac:dyDescent="0.3">
      <c r="F232" s="32"/>
    </row>
    <row r="233" spans="6:6" x14ac:dyDescent="0.3">
      <c r="F233" s="32"/>
    </row>
    <row r="234" spans="6:6" x14ac:dyDescent="0.3">
      <c r="F234" s="32"/>
    </row>
    <row r="235" spans="6:6" x14ac:dyDescent="0.3">
      <c r="F235" s="32"/>
    </row>
    <row r="236" spans="6:6" x14ac:dyDescent="0.3">
      <c r="F236" s="32"/>
    </row>
    <row r="237" spans="6:6" x14ac:dyDescent="0.3">
      <c r="F237" s="32"/>
    </row>
    <row r="238" spans="6:6" x14ac:dyDescent="0.3">
      <c r="F238" s="32"/>
    </row>
    <row r="239" spans="6:6" x14ac:dyDescent="0.3">
      <c r="F239" s="32"/>
    </row>
    <row r="240" spans="6:6" x14ac:dyDescent="0.3">
      <c r="F240" s="32"/>
    </row>
    <row r="241" spans="6:6" x14ac:dyDescent="0.3">
      <c r="F241" s="32"/>
    </row>
    <row r="242" spans="6:6" x14ac:dyDescent="0.3">
      <c r="F242" s="32"/>
    </row>
    <row r="243" spans="6:6" x14ac:dyDescent="0.3">
      <c r="F243" s="32"/>
    </row>
    <row r="244" spans="6:6" x14ac:dyDescent="0.3">
      <c r="F244" s="32"/>
    </row>
    <row r="245" spans="6:6" x14ac:dyDescent="0.3">
      <c r="F245" s="32"/>
    </row>
    <row r="246" spans="6:6" x14ac:dyDescent="0.3">
      <c r="F246" s="32"/>
    </row>
    <row r="247" spans="6:6" x14ac:dyDescent="0.3">
      <c r="F247" s="32"/>
    </row>
    <row r="248" spans="6:6" x14ac:dyDescent="0.3">
      <c r="F248" s="32"/>
    </row>
    <row r="249" spans="6:6" x14ac:dyDescent="0.3">
      <c r="F249" s="32"/>
    </row>
    <row r="250" spans="6:6" x14ac:dyDescent="0.3">
      <c r="F250" s="32"/>
    </row>
    <row r="251" spans="6:6" x14ac:dyDescent="0.3">
      <c r="F251" s="32"/>
    </row>
    <row r="252" spans="6:6" x14ac:dyDescent="0.3">
      <c r="F252" s="32"/>
    </row>
    <row r="253" spans="6:6" x14ac:dyDescent="0.3">
      <c r="F253" s="32"/>
    </row>
    <row r="254" spans="6:6" x14ac:dyDescent="0.3">
      <c r="F254" s="32"/>
    </row>
    <row r="255" spans="6:6" x14ac:dyDescent="0.3">
      <c r="F255" s="32"/>
    </row>
    <row r="256" spans="6:6" x14ac:dyDescent="0.3">
      <c r="F256" s="32"/>
    </row>
    <row r="257" spans="6:6" x14ac:dyDescent="0.3">
      <c r="F257" s="32"/>
    </row>
    <row r="258" spans="6:6" x14ac:dyDescent="0.3">
      <c r="F258" s="32"/>
    </row>
    <row r="259" spans="6:6" x14ac:dyDescent="0.3">
      <c r="F259" s="32"/>
    </row>
    <row r="260" spans="6:6" x14ac:dyDescent="0.3">
      <c r="F260" s="32"/>
    </row>
    <row r="261" spans="6:6" x14ac:dyDescent="0.3">
      <c r="F261" s="32"/>
    </row>
    <row r="262" spans="6:6" x14ac:dyDescent="0.3">
      <c r="F262" s="32"/>
    </row>
    <row r="263" spans="6:6" x14ac:dyDescent="0.3">
      <c r="F263" s="32"/>
    </row>
  </sheetData>
  <mergeCells count="56">
    <mergeCell ref="B174:B183"/>
    <mergeCell ref="B42:B53"/>
    <mergeCell ref="B54:B65"/>
    <mergeCell ref="B66:B77"/>
    <mergeCell ref="B78:B89"/>
    <mergeCell ref="B90:B101"/>
    <mergeCell ref="B102:B113"/>
    <mergeCell ref="B114:B125"/>
    <mergeCell ref="B126:B137"/>
    <mergeCell ref="B138:B149"/>
    <mergeCell ref="B150:B161"/>
    <mergeCell ref="B162:B173"/>
    <mergeCell ref="H2:I5"/>
    <mergeCell ref="B4:B5"/>
    <mergeCell ref="B6:B17"/>
    <mergeCell ref="B18:B29"/>
    <mergeCell ref="B30:B41"/>
    <mergeCell ref="C18:C29"/>
    <mergeCell ref="F18:F29"/>
    <mergeCell ref="B3:C3"/>
    <mergeCell ref="C4:C5"/>
    <mergeCell ref="C6:C17"/>
    <mergeCell ref="C30:C41"/>
    <mergeCell ref="F114:F125"/>
    <mergeCell ref="F126:F137"/>
    <mergeCell ref="F138:F149"/>
    <mergeCell ref="B2:E2"/>
    <mergeCell ref="D3:E3"/>
    <mergeCell ref="F2:F3"/>
    <mergeCell ref="F30:F41"/>
    <mergeCell ref="F42:F53"/>
    <mergeCell ref="F54:F65"/>
    <mergeCell ref="F66:F77"/>
    <mergeCell ref="F78:F89"/>
    <mergeCell ref="F150:F161"/>
    <mergeCell ref="F162:F173"/>
    <mergeCell ref="C150:C161"/>
    <mergeCell ref="C162:C173"/>
    <mergeCell ref="C174:C183"/>
    <mergeCell ref="F174:F183"/>
    <mergeCell ref="C102:C113"/>
    <mergeCell ref="C114:C125"/>
    <mergeCell ref="C126:C137"/>
    <mergeCell ref="C138:C149"/>
    <mergeCell ref="M2:M4"/>
    <mergeCell ref="F16:F17"/>
    <mergeCell ref="F4:F15"/>
    <mergeCell ref="K2:K4"/>
    <mergeCell ref="L2:L4"/>
    <mergeCell ref="C42:C53"/>
    <mergeCell ref="C54:C65"/>
    <mergeCell ref="C66:C77"/>
    <mergeCell ref="C78:C89"/>
    <mergeCell ref="C90:C101"/>
    <mergeCell ref="F90:F101"/>
    <mergeCell ref="F102:F11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82D4-4B8B-4516-B8F0-90DFDBD40C2D}">
  <dimension ref="B1:C3"/>
  <sheetViews>
    <sheetView showGridLines="0" zoomScaleNormal="100" workbookViewId="0">
      <selection activeCell="G3" sqref="G3"/>
    </sheetView>
  </sheetViews>
  <sheetFormatPr defaultRowHeight="12.5" x14ac:dyDescent="0.25"/>
  <cols>
    <col min="1" max="1" width="8.7265625" style="26"/>
    <col min="2" max="2" width="25.90625" style="26" customWidth="1"/>
    <col min="3" max="3" width="62.36328125" style="26" customWidth="1"/>
    <col min="4" max="16384" width="8.7265625" style="26"/>
  </cols>
  <sheetData>
    <row r="1" spans="2:3" ht="28" x14ac:dyDescent="0.25">
      <c r="B1" s="16" t="s">
        <v>28</v>
      </c>
      <c r="C1" s="16" t="s">
        <v>22</v>
      </c>
    </row>
    <row r="2" spans="2:3" ht="65.5" customHeight="1" x14ac:dyDescent="0.25">
      <c r="B2" s="8">
        <v>700</v>
      </c>
      <c r="C2" s="27" t="s">
        <v>29</v>
      </c>
    </row>
    <row r="3" spans="2:3" ht="15" x14ac:dyDescent="0.4">
      <c r="B3" s="28" t="s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Расчет</vt:lpstr>
      <vt:lpstr>Понижающий коэффициент</vt:lpstr>
      <vt:lpstr>Коэффициенты (ПС)</vt:lpstr>
      <vt:lpstr>Коэффициенты (БЛ)</vt:lpstr>
      <vt:lpstr>Обработка руды</vt:lpstr>
      <vt:lpstr>Базовый сценарий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Uskova, Kseniya</dc:creator>
  <cp:lastModifiedBy>Kept</cp:lastModifiedBy>
  <dcterms:created xsi:type="dcterms:W3CDTF">2015-06-05T18:17:20Z</dcterms:created>
  <dcterms:modified xsi:type="dcterms:W3CDTF">2026-04-16T09:11:12Z</dcterms:modified>
</cp:coreProperties>
</file>