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nikolaytrofimov/Documents/Новый тех уклад/Верхний Ландех/ПТД/"/>
    </mc:Choice>
  </mc:AlternateContent>
  <xr:revisionPtr revIDLastSave="0" documentId="13_ncr:1_{FAC2E23A-CC3B-4047-A1F2-1378D2B36BFD}" xr6:coauthVersionLast="47" xr6:coauthVersionMax="47" xr10:uidLastSave="{00000000-0000-0000-0000-000000000000}"/>
  <bookViews>
    <workbookView xWindow="-38040" yWindow="-2920" windowWidth="30240" windowHeight="19340" tabRatio="500" firstSheet="10" activeTab="14" xr2:uid="{00000000-000D-0000-FFFF-FFFF00000000}"/>
  </bookViews>
  <sheets>
    <sheet name="Свод" sheetId="1" r:id="rId1"/>
    <sheet name="Расчетная модель ПС " sheetId="2" r:id="rId2"/>
    <sheet name="Исходные данные" sheetId="3" r:id="rId3"/>
    <sheet name="Сравнение БС" sheetId="4" r:id="rId4"/>
    <sheet name="Расчетная модель БС BAU " sheetId="5" r:id="rId5"/>
    <sheet name="Расч-ая модель БС BAU cons" sheetId="6" r:id="rId6"/>
    <sheet name="Расч-ая модель БС BAU adjust" sheetId="7" r:id="rId7"/>
    <sheet name="Котельные факт + нов" sheetId="8" r:id="rId8"/>
    <sheet name="Перечень обор БМК (котлы)" sheetId="9" r:id="rId9"/>
    <sheet name="Котельные проект макс КПД котло" sheetId="10" r:id="rId10"/>
    <sheet name="Неопределенность" sheetId="11" r:id="rId11"/>
    <sheet name="Расцет ЦУР и Нац цели&gt;&gt;&gt;" sheetId="12" r:id="rId12"/>
    <sheet name="Выбросы от доставки грузов" sheetId="13" r:id="rId13"/>
    <sheet name="Индексы цен Услуги" sheetId="14" r:id="rId14"/>
    <sheet name="Энергоемкость производства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5" l="1"/>
  <c r="G9" i="15"/>
  <c r="G10" i="15"/>
  <c r="G11" i="15"/>
  <c r="C9" i="15"/>
  <c r="C10" i="15"/>
  <c r="C11" i="15"/>
  <c r="O22" i="3"/>
  <c r="O19" i="3"/>
  <c r="O20" i="3"/>
  <c r="O17" i="3"/>
  <c r="O16" i="3"/>
  <c r="AB24" i="14" l="1"/>
  <c r="AC24" i="14" s="1"/>
  <c r="AD24" i="14" s="1"/>
  <c r="AE24" i="14" s="1"/>
  <c r="AF24" i="14" s="1"/>
  <c r="AG24" i="14" s="1"/>
  <c r="AH24" i="14" s="1"/>
  <c r="AI24" i="14" s="1"/>
  <c r="AJ24" i="14" s="1"/>
  <c r="F6" i="13"/>
  <c r="U11" i="11"/>
  <c r="U8" i="11"/>
  <c r="U6" i="11"/>
  <c r="U5" i="11"/>
  <c r="U35" i="10"/>
  <c r="Q53" i="7" s="1"/>
  <c r="T35" i="10"/>
  <c r="P53" i="7" s="1"/>
  <c r="S35" i="10"/>
  <c r="R35" i="10"/>
  <c r="Q35" i="10"/>
  <c r="U34" i="10"/>
  <c r="Q38" i="7" s="1"/>
  <c r="T34" i="10"/>
  <c r="P38" i="7" s="1"/>
  <c r="S34" i="10"/>
  <c r="R34" i="10"/>
  <c r="L34" i="10"/>
  <c r="H38" i="7" s="1"/>
  <c r="K34" i="10"/>
  <c r="G38" i="7" s="1"/>
  <c r="U33" i="10"/>
  <c r="Q23" i="7" s="1"/>
  <c r="T33" i="10"/>
  <c r="P23" i="7" s="1"/>
  <c r="S33" i="10"/>
  <c r="R33" i="10"/>
  <c r="Q33" i="10"/>
  <c r="P33" i="10"/>
  <c r="O33" i="10"/>
  <c r="N33" i="10"/>
  <c r="M33" i="10"/>
  <c r="I23" i="7" s="1"/>
  <c r="L33" i="10"/>
  <c r="H23" i="7" s="1"/>
  <c r="K33" i="10"/>
  <c r="J33" i="10"/>
  <c r="I33" i="10"/>
  <c r="U32" i="10"/>
  <c r="T32" i="10"/>
  <c r="P8" i="7" s="1"/>
  <c r="S32" i="10"/>
  <c r="O8" i="7" s="1"/>
  <c r="R32" i="10"/>
  <c r="N29" i="10"/>
  <c r="M29" i="10"/>
  <c r="L29" i="10"/>
  <c r="K29" i="10"/>
  <c r="F29" i="10"/>
  <c r="I28" i="10"/>
  <c r="F28" i="10"/>
  <c r="M27" i="10"/>
  <c r="M34" i="10" s="1"/>
  <c r="I38" i="7" s="1"/>
  <c r="L27" i="10"/>
  <c r="K27" i="10"/>
  <c r="J27" i="10"/>
  <c r="J34" i="10" s="1"/>
  <c r="F27" i="10"/>
  <c r="P27" i="10" s="1"/>
  <c r="P34" i="10" s="1"/>
  <c r="I26" i="10"/>
  <c r="H26" i="10"/>
  <c r="G26" i="10"/>
  <c r="F26" i="10"/>
  <c r="H25" i="10"/>
  <c r="H33" i="10" s="1"/>
  <c r="G25" i="10"/>
  <c r="G33" i="10" s="1"/>
  <c r="F25" i="10"/>
  <c r="F24" i="10"/>
  <c r="F23" i="10"/>
  <c r="F22" i="10"/>
  <c r="P21" i="10"/>
  <c r="O21" i="10"/>
  <c r="M21" i="10"/>
  <c r="L21" i="10"/>
  <c r="K21" i="10"/>
  <c r="J21" i="10"/>
  <c r="I21" i="10"/>
  <c r="H21" i="10"/>
  <c r="G21" i="10"/>
  <c r="F21" i="10"/>
  <c r="N21" i="10" s="1"/>
  <c r="P20" i="10"/>
  <c r="G20" i="10"/>
  <c r="F20" i="10"/>
  <c r="G12" i="10"/>
  <c r="G10" i="10"/>
  <c r="G8" i="10"/>
  <c r="T35" i="8"/>
  <c r="S35" i="8"/>
  <c r="R35" i="8"/>
  <c r="Q35" i="8"/>
  <c r="S34" i="8"/>
  <c r="R34" i="8"/>
  <c r="R33" i="8"/>
  <c r="Q33" i="8"/>
  <c r="O33" i="8"/>
  <c r="J33" i="8"/>
  <c r="I33" i="8"/>
  <c r="H33" i="8"/>
  <c r="D23" i="6" s="1"/>
  <c r="U29" i="8"/>
  <c r="T29" i="8"/>
  <c r="S29" i="8"/>
  <c r="R29" i="8"/>
  <c r="Q29" i="8"/>
  <c r="P29" i="8"/>
  <c r="O29" i="8"/>
  <c r="N29" i="8"/>
  <c r="M29" i="8"/>
  <c r="G29" i="8"/>
  <c r="F29" i="8"/>
  <c r="U28" i="8"/>
  <c r="U35" i="8" s="1"/>
  <c r="T28" i="8"/>
  <c r="S28" i="8"/>
  <c r="R28" i="8"/>
  <c r="Q28" i="8"/>
  <c r="F28" i="8"/>
  <c r="U27" i="8"/>
  <c r="T27" i="8"/>
  <c r="S27" i="8"/>
  <c r="R27" i="8"/>
  <c r="P27" i="8"/>
  <c r="P34" i="8" s="1"/>
  <c r="L38" i="6" s="1"/>
  <c r="O27" i="8"/>
  <c r="N27" i="8"/>
  <c r="M27" i="8"/>
  <c r="F27" i="8"/>
  <c r="H27" i="8" s="1"/>
  <c r="U26" i="8"/>
  <c r="U34" i="8" s="1"/>
  <c r="T26" i="8"/>
  <c r="T34" i="8" s="1"/>
  <c r="S26" i="8"/>
  <c r="R26" i="8"/>
  <c r="Q26" i="8"/>
  <c r="P26" i="8"/>
  <c r="O26" i="8"/>
  <c r="N26" i="8"/>
  <c r="M26" i="8"/>
  <c r="L26" i="8"/>
  <c r="K26" i="8"/>
  <c r="J26" i="8"/>
  <c r="H26" i="8"/>
  <c r="H34" i="8" s="1"/>
  <c r="G26" i="8"/>
  <c r="F26" i="8"/>
  <c r="I26" i="8" s="1"/>
  <c r="U25" i="8"/>
  <c r="U33" i="8" s="1"/>
  <c r="T25" i="8"/>
  <c r="T33" i="8" s="1"/>
  <c r="S25" i="8"/>
  <c r="S33" i="8" s="1"/>
  <c r="R25" i="8"/>
  <c r="Q25" i="8"/>
  <c r="P25" i="8"/>
  <c r="P33" i="8" s="1"/>
  <c r="O25" i="8"/>
  <c r="N25" i="8"/>
  <c r="N33" i="8" s="1"/>
  <c r="M25" i="8"/>
  <c r="M33" i="8" s="1"/>
  <c r="L25" i="8"/>
  <c r="L33" i="8" s="1"/>
  <c r="K25" i="8"/>
  <c r="K33" i="8" s="1"/>
  <c r="J25" i="8"/>
  <c r="I25" i="8"/>
  <c r="H25" i="8"/>
  <c r="G25" i="8"/>
  <c r="G33" i="8" s="1"/>
  <c r="F25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U22" i="8"/>
  <c r="T22" i="8"/>
  <c r="S22" i="8"/>
  <c r="R22" i="8"/>
  <c r="Q22" i="8"/>
  <c r="F22" i="8"/>
  <c r="U21" i="8"/>
  <c r="T21" i="8"/>
  <c r="S21" i="8"/>
  <c r="R21" i="8"/>
  <c r="Q21" i="8"/>
  <c r="P21" i="8"/>
  <c r="O21" i="8"/>
  <c r="N21" i="8"/>
  <c r="M21" i="8"/>
  <c r="H21" i="8"/>
  <c r="G21" i="8"/>
  <c r="F21" i="8"/>
  <c r="U20" i="8"/>
  <c r="T20" i="8"/>
  <c r="T32" i="8" s="1"/>
  <c r="S20" i="8"/>
  <c r="S32" i="8" s="1"/>
  <c r="R20" i="8"/>
  <c r="R32" i="8" s="1"/>
  <c r="P20" i="8"/>
  <c r="F20" i="8"/>
  <c r="G12" i="8"/>
  <c r="G10" i="8"/>
  <c r="G8" i="8"/>
  <c r="Q55" i="7"/>
  <c r="P55" i="7"/>
  <c r="P57" i="7" s="1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P54" i="7"/>
  <c r="O54" i="7"/>
  <c r="O57" i="7" s="1"/>
  <c r="O53" i="7"/>
  <c r="N53" i="7"/>
  <c r="N54" i="7" s="1"/>
  <c r="N57" i="7" s="1"/>
  <c r="M53" i="7"/>
  <c r="Q50" i="7"/>
  <c r="Q54" i="7" s="1"/>
  <c r="N50" i="7"/>
  <c r="M50" i="7"/>
  <c r="M54" i="7" s="1"/>
  <c r="L50" i="7"/>
  <c r="K50" i="7"/>
  <c r="J50" i="7"/>
  <c r="I50" i="7"/>
  <c r="H50" i="7"/>
  <c r="F50" i="7"/>
  <c r="D50" i="7"/>
  <c r="Q49" i="7"/>
  <c r="P49" i="7"/>
  <c r="P50" i="7" s="1"/>
  <c r="O49" i="7"/>
  <c r="O50" i="7" s="1"/>
  <c r="N49" i="7"/>
  <c r="M49" i="7"/>
  <c r="L49" i="7"/>
  <c r="K49" i="7"/>
  <c r="J49" i="7"/>
  <c r="I49" i="7"/>
  <c r="H49" i="7"/>
  <c r="G49" i="7"/>
  <c r="G50" i="7" s="1"/>
  <c r="F49" i="7"/>
  <c r="E49" i="7"/>
  <c r="E50" i="7" s="1"/>
  <c r="D49" i="7"/>
  <c r="C49" i="7"/>
  <c r="C50" i="7" s="1"/>
  <c r="P42" i="7"/>
  <c r="O42" i="7"/>
  <c r="I42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O39" i="7"/>
  <c r="G39" i="7"/>
  <c r="O38" i="7"/>
  <c r="N38" i="7"/>
  <c r="L38" i="7"/>
  <c r="F38" i="7"/>
  <c r="O35" i="7"/>
  <c r="M35" i="7"/>
  <c r="L35" i="7"/>
  <c r="L39" i="7" s="1"/>
  <c r="K35" i="7"/>
  <c r="J35" i="7"/>
  <c r="G35" i="7"/>
  <c r="D35" i="7"/>
  <c r="C35" i="7"/>
  <c r="Q34" i="7"/>
  <c r="Q35" i="7" s="1"/>
  <c r="Q39" i="7" s="1"/>
  <c r="Q42" i="7" s="1"/>
  <c r="P34" i="7"/>
  <c r="P35" i="7" s="1"/>
  <c r="P39" i="7" s="1"/>
  <c r="O34" i="7"/>
  <c r="N34" i="7"/>
  <c r="N35" i="7" s="1"/>
  <c r="N39" i="7" s="1"/>
  <c r="N42" i="7" s="1"/>
  <c r="M34" i="7"/>
  <c r="L34" i="7"/>
  <c r="K34" i="7"/>
  <c r="J34" i="7"/>
  <c r="I34" i="7"/>
  <c r="I35" i="7" s="1"/>
  <c r="I39" i="7" s="1"/>
  <c r="H34" i="7"/>
  <c r="H35" i="7" s="1"/>
  <c r="H39" i="7" s="1"/>
  <c r="G34" i="7"/>
  <c r="F34" i="7"/>
  <c r="F35" i="7" s="1"/>
  <c r="F39" i="7" s="1"/>
  <c r="E34" i="7"/>
  <c r="E35" i="7" s="1"/>
  <c r="D34" i="7"/>
  <c r="C34" i="7"/>
  <c r="N27" i="7"/>
  <c r="G27" i="7"/>
  <c r="Q25" i="7"/>
  <c r="Q27" i="7" s="1"/>
  <c r="P25" i="7"/>
  <c r="O25" i="7"/>
  <c r="N25" i="7"/>
  <c r="M25" i="7"/>
  <c r="L25" i="7"/>
  <c r="L27" i="7" s="1"/>
  <c r="K25" i="7"/>
  <c r="J25" i="7"/>
  <c r="I25" i="7"/>
  <c r="H25" i="7"/>
  <c r="G25" i="7"/>
  <c r="F25" i="7"/>
  <c r="E25" i="7"/>
  <c r="D25" i="7"/>
  <c r="C25" i="7"/>
  <c r="P24" i="7"/>
  <c r="P27" i="7" s="1"/>
  <c r="O24" i="7"/>
  <c r="O27" i="7" s="1"/>
  <c r="H24" i="7"/>
  <c r="G24" i="7"/>
  <c r="O23" i="7"/>
  <c r="N23" i="7"/>
  <c r="M23" i="7"/>
  <c r="L23" i="7"/>
  <c r="K23" i="7"/>
  <c r="J23" i="7"/>
  <c r="G23" i="7"/>
  <c r="F23" i="7"/>
  <c r="E23" i="7"/>
  <c r="D23" i="7"/>
  <c r="C23" i="7"/>
  <c r="Q20" i="7"/>
  <c r="Q24" i="7" s="1"/>
  <c r="N20" i="7"/>
  <c r="N24" i="7" s="1"/>
  <c r="F20" i="7"/>
  <c r="F24" i="7" s="1"/>
  <c r="F27" i="7" s="1"/>
  <c r="E20" i="7"/>
  <c r="E24" i="7" s="1"/>
  <c r="E27" i="7" s="1"/>
  <c r="D20" i="7"/>
  <c r="D24" i="7" s="1"/>
  <c r="Q19" i="7"/>
  <c r="P19" i="7"/>
  <c r="P20" i="7" s="1"/>
  <c r="O19" i="7"/>
  <c r="O20" i="7" s="1"/>
  <c r="N19" i="7"/>
  <c r="M19" i="7"/>
  <c r="M20" i="7" s="1"/>
  <c r="M24" i="7" s="1"/>
  <c r="M27" i="7" s="1"/>
  <c r="L19" i="7"/>
  <c r="L20" i="7" s="1"/>
  <c r="L24" i="7" s="1"/>
  <c r="K19" i="7"/>
  <c r="K20" i="7" s="1"/>
  <c r="K24" i="7" s="1"/>
  <c r="J19" i="7"/>
  <c r="J20" i="7" s="1"/>
  <c r="J24" i="7" s="1"/>
  <c r="J27" i="7" s="1"/>
  <c r="I19" i="7"/>
  <c r="I20" i="7" s="1"/>
  <c r="I24" i="7" s="1"/>
  <c r="H19" i="7"/>
  <c r="H20" i="7" s="1"/>
  <c r="G19" i="7"/>
  <c r="G20" i="7" s="1"/>
  <c r="F19" i="7"/>
  <c r="E19" i="7"/>
  <c r="D19" i="7"/>
  <c r="C19" i="7"/>
  <c r="C20" i="7" s="1"/>
  <c r="C24" i="7" s="1"/>
  <c r="Q10" i="7"/>
  <c r="P10" i="7"/>
  <c r="P12" i="7" s="1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N9" i="7"/>
  <c r="Q8" i="7"/>
  <c r="N8" i="7"/>
  <c r="Q5" i="7"/>
  <c r="Q9" i="7" s="1"/>
  <c r="Q12" i="7" s="1"/>
  <c r="P5" i="7"/>
  <c r="P9" i="7" s="1"/>
  <c r="J5" i="7"/>
  <c r="I5" i="7"/>
  <c r="H5" i="7"/>
  <c r="E5" i="7"/>
  <c r="Q4" i="7"/>
  <c r="P4" i="7"/>
  <c r="O4" i="7"/>
  <c r="O5" i="7" s="1"/>
  <c r="O9" i="7" s="1"/>
  <c r="N4" i="7"/>
  <c r="N5" i="7" s="1"/>
  <c r="M4" i="7"/>
  <c r="M5" i="7" s="1"/>
  <c r="L4" i="7"/>
  <c r="L5" i="7" s="1"/>
  <c r="K4" i="7"/>
  <c r="K5" i="7" s="1"/>
  <c r="J4" i="7"/>
  <c r="I4" i="7"/>
  <c r="H4" i="7"/>
  <c r="G4" i="7"/>
  <c r="G5" i="7" s="1"/>
  <c r="F4" i="7"/>
  <c r="F5" i="7" s="1"/>
  <c r="E4" i="7"/>
  <c r="D4" i="7"/>
  <c r="D5" i="7" s="1"/>
  <c r="C4" i="7"/>
  <c r="C5" i="7" s="1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Q53" i="6"/>
  <c r="P53" i="6"/>
  <c r="O53" i="6"/>
  <c r="N53" i="6"/>
  <c r="M53" i="6"/>
  <c r="Q50" i="6"/>
  <c r="Q54" i="6" s="1"/>
  <c r="Q57" i="6" s="1"/>
  <c r="P50" i="6"/>
  <c r="P54" i="6" s="1"/>
  <c r="O50" i="6"/>
  <c r="O54" i="6" s="1"/>
  <c r="J50" i="6"/>
  <c r="I50" i="6"/>
  <c r="H50" i="6"/>
  <c r="G50" i="6"/>
  <c r="F50" i="6"/>
  <c r="E50" i="6"/>
  <c r="Q49" i="6"/>
  <c r="P49" i="6"/>
  <c r="O49" i="6"/>
  <c r="N49" i="6"/>
  <c r="N50" i="6" s="1"/>
  <c r="N54" i="6" s="1"/>
  <c r="M49" i="6"/>
  <c r="M50" i="6" s="1"/>
  <c r="M54" i="6" s="1"/>
  <c r="L49" i="6"/>
  <c r="L50" i="6" s="1"/>
  <c r="K49" i="6"/>
  <c r="K50" i="6" s="1"/>
  <c r="J49" i="6"/>
  <c r="I49" i="6"/>
  <c r="H49" i="6"/>
  <c r="G49" i="6"/>
  <c r="F49" i="6"/>
  <c r="E49" i="6"/>
  <c r="D49" i="6"/>
  <c r="D50" i="6" s="1"/>
  <c r="C49" i="6"/>
  <c r="C50" i="6" s="1"/>
  <c r="Q40" i="6"/>
  <c r="P40" i="6"/>
  <c r="O40" i="6"/>
  <c r="N40" i="6"/>
  <c r="M40" i="6"/>
  <c r="L40" i="6"/>
  <c r="L42" i="6" s="1"/>
  <c r="K40" i="6"/>
  <c r="J40" i="6"/>
  <c r="I40" i="6"/>
  <c r="H40" i="6"/>
  <c r="G40" i="6"/>
  <c r="F40" i="6"/>
  <c r="E40" i="6"/>
  <c r="D40" i="6"/>
  <c r="D42" i="6" s="1"/>
  <c r="C40" i="6"/>
  <c r="Q38" i="6"/>
  <c r="P38" i="6"/>
  <c r="O38" i="6"/>
  <c r="N38" i="6"/>
  <c r="D38" i="6"/>
  <c r="O35" i="6"/>
  <c r="N35" i="6"/>
  <c r="N39" i="6" s="1"/>
  <c r="M35" i="6"/>
  <c r="L35" i="6"/>
  <c r="L39" i="6" s="1"/>
  <c r="J35" i="6"/>
  <c r="G35" i="6"/>
  <c r="F35" i="6"/>
  <c r="E35" i="6"/>
  <c r="D35" i="6"/>
  <c r="D39" i="6" s="1"/>
  <c r="Q34" i="6"/>
  <c r="Q35" i="6" s="1"/>
  <c r="Q39" i="6" s="1"/>
  <c r="P34" i="6"/>
  <c r="P35" i="6" s="1"/>
  <c r="P39" i="6" s="1"/>
  <c r="P42" i="6" s="1"/>
  <c r="O34" i="6"/>
  <c r="N34" i="6"/>
  <c r="M34" i="6"/>
  <c r="L34" i="6"/>
  <c r="K34" i="6"/>
  <c r="K35" i="6" s="1"/>
  <c r="J34" i="6"/>
  <c r="I34" i="6"/>
  <c r="I35" i="6" s="1"/>
  <c r="H34" i="6"/>
  <c r="H35" i="6" s="1"/>
  <c r="G34" i="6"/>
  <c r="F34" i="6"/>
  <c r="E34" i="6"/>
  <c r="D34" i="6"/>
  <c r="C34" i="6"/>
  <c r="C35" i="6" s="1"/>
  <c r="P27" i="6"/>
  <c r="E27" i="6"/>
  <c r="Q25" i="6"/>
  <c r="P25" i="6"/>
  <c r="O25" i="6"/>
  <c r="O27" i="6" s="1"/>
  <c r="N25" i="6"/>
  <c r="M25" i="6"/>
  <c r="L25" i="6"/>
  <c r="K25" i="6"/>
  <c r="J25" i="6"/>
  <c r="I25" i="6"/>
  <c r="H25" i="6"/>
  <c r="H27" i="6" s="1"/>
  <c r="G25" i="6"/>
  <c r="G27" i="6" s="1"/>
  <c r="F25" i="6"/>
  <c r="E25" i="6"/>
  <c r="D25" i="6"/>
  <c r="C25" i="6"/>
  <c r="C27" i="6" s="1"/>
  <c r="K24" i="6"/>
  <c r="K27" i="6" s="1"/>
  <c r="C24" i="6"/>
  <c r="Q23" i="6"/>
  <c r="P23" i="6"/>
  <c r="O23" i="6"/>
  <c r="N23" i="6"/>
  <c r="M23" i="6"/>
  <c r="L23" i="6"/>
  <c r="K23" i="6"/>
  <c r="J23" i="6"/>
  <c r="J24" i="6" s="1"/>
  <c r="J27" i="6" s="1"/>
  <c r="I23" i="6"/>
  <c r="H23" i="6"/>
  <c r="G23" i="6"/>
  <c r="F23" i="6"/>
  <c r="E23" i="6"/>
  <c r="C23" i="6"/>
  <c r="Q20" i="6"/>
  <c r="P20" i="6"/>
  <c r="P24" i="6" s="1"/>
  <c r="J20" i="6"/>
  <c r="I20" i="6"/>
  <c r="I24" i="6" s="1"/>
  <c r="I27" i="6" s="1"/>
  <c r="H20" i="6"/>
  <c r="H24" i="6" s="1"/>
  <c r="G20" i="6"/>
  <c r="G24" i="6" s="1"/>
  <c r="Q19" i="6"/>
  <c r="P19" i="6"/>
  <c r="O19" i="6"/>
  <c r="O20" i="6" s="1"/>
  <c r="O24" i="6" s="1"/>
  <c r="N19" i="6"/>
  <c r="N20" i="6" s="1"/>
  <c r="N24" i="6" s="1"/>
  <c r="M19" i="6"/>
  <c r="M20" i="6" s="1"/>
  <c r="M24" i="6" s="1"/>
  <c r="L19" i="6"/>
  <c r="L20" i="6" s="1"/>
  <c r="L24" i="6" s="1"/>
  <c r="K19" i="6"/>
  <c r="K20" i="6" s="1"/>
  <c r="J19" i="6"/>
  <c r="I19" i="6"/>
  <c r="H19" i="6"/>
  <c r="G19" i="6"/>
  <c r="F19" i="6"/>
  <c r="F20" i="6" s="1"/>
  <c r="F24" i="6" s="1"/>
  <c r="E19" i="6"/>
  <c r="E20" i="6" s="1"/>
  <c r="E24" i="6" s="1"/>
  <c r="D19" i="6"/>
  <c r="D20" i="6" s="1"/>
  <c r="D24" i="6" s="1"/>
  <c r="C19" i="6"/>
  <c r="C20" i="6" s="1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P8" i="6"/>
  <c r="O8" i="6"/>
  <c r="N8" i="6"/>
  <c r="N9" i="6" s="1"/>
  <c r="N5" i="6"/>
  <c r="M5" i="6"/>
  <c r="L5" i="6"/>
  <c r="K5" i="6"/>
  <c r="J5" i="6"/>
  <c r="I5" i="6"/>
  <c r="F5" i="6"/>
  <c r="E5" i="6"/>
  <c r="D5" i="6"/>
  <c r="C5" i="6"/>
  <c r="Q4" i="6"/>
  <c r="Q5" i="6" s="1"/>
  <c r="P4" i="6"/>
  <c r="P5" i="6" s="1"/>
  <c r="P9" i="6" s="1"/>
  <c r="O4" i="6"/>
  <c r="O5" i="6" s="1"/>
  <c r="O9" i="6" s="1"/>
  <c r="N4" i="6"/>
  <c r="M4" i="6"/>
  <c r="L4" i="6"/>
  <c r="K4" i="6"/>
  <c r="J4" i="6"/>
  <c r="I4" i="6"/>
  <c r="H4" i="6"/>
  <c r="H5" i="6" s="1"/>
  <c r="G4" i="6"/>
  <c r="G5" i="6" s="1"/>
  <c r="F4" i="6"/>
  <c r="E4" i="6"/>
  <c r="D4" i="6"/>
  <c r="C4" i="6"/>
  <c r="Q46" i="5"/>
  <c r="P46" i="5"/>
  <c r="P49" i="5" s="1"/>
  <c r="O46" i="5"/>
  <c r="O49" i="5" s="1"/>
  <c r="N46" i="5"/>
  <c r="M46" i="5"/>
  <c r="L46" i="5"/>
  <c r="K46" i="5"/>
  <c r="J46" i="5"/>
  <c r="I46" i="5"/>
  <c r="H46" i="5"/>
  <c r="G46" i="5"/>
  <c r="F46" i="5"/>
  <c r="E46" i="5"/>
  <c r="D46" i="5"/>
  <c r="C46" i="5"/>
  <c r="O45" i="5"/>
  <c r="Q44" i="5"/>
  <c r="P44" i="5"/>
  <c r="O44" i="5"/>
  <c r="N44" i="5"/>
  <c r="N45" i="5" s="1"/>
  <c r="M44" i="5"/>
  <c r="O41" i="5"/>
  <c r="N41" i="5"/>
  <c r="M41" i="5"/>
  <c r="M45" i="5" s="1"/>
  <c r="L41" i="5"/>
  <c r="G41" i="5"/>
  <c r="F41" i="5"/>
  <c r="E41" i="5"/>
  <c r="D41" i="5"/>
  <c r="Q40" i="5"/>
  <c r="Q41" i="5" s="1"/>
  <c r="Q45" i="5" s="1"/>
  <c r="Q49" i="5" s="1"/>
  <c r="P40" i="5"/>
  <c r="P41" i="5" s="1"/>
  <c r="P45" i="5" s="1"/>
  <c r="O40" i="5"/>
  <c r="N40" i="5"/>
  <c r="M40" i="5"/>
  <c r="L40" i="5"/>
  <c r="K40" i="5"/>
  <c r="K41" i="5" s="1"/>
  <c r="J40" i="5"/>
  <c r="J41" i="5" s="1"/>
  <c r="I40" i="5"/>
  <c r="I41" i="5" s="1"/>
  <c r="H40" i="5"/>
  <c r="H41" i="5" s="1"/>
  <c r="G40" i="5"/>
  <c r="F40" i="5"/>
  <c r="E40" i="5"/>
  <c r="D40" i="5"/>
  <c r="C40" i="5"/>
  <c r="C41" i="5" s="1"/>
  <c r="Q34" i="5"/>
  <c r="Q36" i="5" s="1"/>
  <c r="R6" i="11" s="1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Q33" i="5"/>
  <c r="P33" i="5"/>
  <c r="P36" i="5" s="1"/>
  <c r="Q6" i="11" s="1"/>
  <c r="Q32" i="5"/>
  <c r="P32" i="5"/>
  <c r="O32" i="5"/>
  <c r="O33" i="5" s="1"/>
  <c r="N32" i="5"/>
  <c r="N33" i="5" s="1"/>
  <c r="L32" i="5"/>
  <c r="D32" i="5"/>
  <c r="Q29" i="5"/>
  <c r="P29" i="5"/>
  <c r="O29" i="5"/>
  <c r="N29" i="5"/>
  <c r="M29" i="5"/>
  <c r="L29" i="5"/>
  <c r="L33" i="5" s="1"/>
  <c r="L36" i="5" s="1"/>
  <c r="M6" i="11" s="1"/>
  <c r="K29" i="5"/>
  <c r="I29" i="5"/>
  <c r="H29" i="5"/>
  <c r="G29" i="5"/>
  <c r="E29" i="5"/>
  <c r="C29" i="5"/>
  <c r="Q28" i="5"/>
  <c r="P28" i="5"/>
  <c r="O28" i="5"/>
  <c r="N28" i="5"/>
  <c r="M28" i="5"/>
  <c r="L28" i="5"/>
  <c r="K28" i="5"/>
  <c r="J28" i="5"/>
  <c r="J29" i="5" s="1"/>
  <c r="I28" i="5"/>
  <c r="H28" i="5"/>
  <c r="G28" i="5"/>
  <c r="F28" i="5"/>
  <c r="F29" i="5" s="1"/>
  <c r="E28" i="5"/>
  <c r="D28" i="5"/>
  <c r="D29" i="5" s="1"/>
  <c r="D33" i="5" s="1"/>
  <c r="D36" i="5" s="1"/>
  <c r="E6" i="11" s="1"/>
  <c r="C28" i="5"/>
  <c r="Q22" i="5"/>
  <c r="P22" i="5"/>
  <c r="O22" i="5"/>
  <c r="N22" i="5"/>
  <c r="M22" i="5"/>
  <c r="L22" i="5"/>
  <c r="K22" i="5"/>
  <c r="J22" i="5"/>
  <c r="I22" i="5"/>
  <c r="I24" i="5" s="1"/>
  <c r="H22" i="5"/>
  <c r="G22" i="5"/>
  <c r="F22" i="5"/>
  <c r="E22" i="5"/>
  <c r="D22" i="5"/>
  <c r="D24" i="5" s="1"/>
  <c r="C22" i="5"/>
  <c r="K21" i="5"/>
  <c r="K24" i="5" s="1"/>
  <c r="C21" i="5"/>
  <c r="C24" i="5" s="1"/>
  <c r="Q20" i="5"/>
  <c r="P20" i="5"/>
  <c r="O20" i="5"/>
  <c r="N20" i="5"/>
  <c r="M20" i="5"/>
  <c r="L20" i="5"/>
  <c r="K20" i="5"/>
  <c r="J20" i="5"/>
  <c r="J21" i="5" s="1"/>
  <c r="I20" i="5"/>
  <c r="H20" i="5"/>
  <c r="G20" i="5"/>
  <c r="F20" i="5"/>
  <c r="E20" i="5"/>
  <c r="D20" i="5"/>
  <c r="C20" i="5"/>
  <c r="Q17" i="5"/>
  <c r="Q21" i="5" s="1"/>
  <c r="Q24" i="5" s="1"/>
  <c r="P17" i="5"/>
  <c r="P21" i="5" s="1"/>
  <c r="O17" i="5"/>
  <c r="O21" i="5" s="1"/>
  <c r="O24" i="5" s="1"/>
  <c r="K17" i="5"/>
  <c r="J17" i="5"/>
  <c r="I17" i="5"/>
  <c r="I21" i="5" s="1"/>
  <c r="H17" i="5"/>
  <c r="H21" i="5" s="1"/>
  <c r="G17" i="5"/>
  <c r="G21" i="5" s="1"/>
  <c r="G24" i="5" s="1"/>
  <c r="E17" i="5"/>
  <c r="E21" i="5" s="1"/>
  <c r="E24" i="5" s="1"/>
  <c r="C17" i="5"/>
  <c r="Q16" i="5"/>
  <c r="P16" i="5"/>
  <c r="O16" i="5"/>
  <c r="N16" i="5"/>
  <c r="N17" i="5" s="1"/>
  <c r="N21" i="5" s="1"/>
  <c r="N24" i="5" s="1"/>
  <c r="M16" i="5"/>
  <c r="M17" i="5" s="1"/>
  <c r="M21" i="5" s="1"/>
  <c r="M24" i="5" s="1"/>
  <c r="L16" i="5"/>
  <c r="L17" i="5" s="1"/>
  <c r="L21" i="5" s="1"/>
  <c r="L24" i="5" s="1"/>
  <c r="K16" i="5"/>
  <c r="J16" i="5"/>
  <c r="I16" i="5"/>
  <c r="H16" i="5"/>
  <c r="G16" i="5"/>
  <c r="F16" i="5"/>
  <c r="F17" i="5" s="1"/>
  <c r="F21" i="5" s="1"/>
  <c r="F24" i="5" s="1"/>
  <c r="E16" i="5"/>
  <c r="D16" i="5"/>
  <c r="D17" i="5" s="1"/>
  <c r="D21" i="5" s="1"/>
  <c r="C16" i="5"/>
  <c r="Q10" i="5"/>
  <c r="P10" i="5"/>
  <c r="O10" i="5"/>
  <c r="N10" i="5"/>
  <c r="N12" i="5" s="1"/>
  <c r="M10" i="5"/>
  <c r="L10" i="5"/>
  <c r="K10" i="5"/>
  <c r="J10" i="5"/>
  <c r="I10" i="5"/>
  <c r="H10" i="5"/>
  <c r="G10" i="5"/>
  <c r="F10" i="5"/>
  <c r="E10" i="5"/>
  <c r="D10" i="5"/>
  <c r="C10" i="5"/>
  <c r="P8" i="5"/>
  <c r="O8" i="5"/>
  <c r="N8" i="5"/>
  <c r="Q5" i="5"/>
  <c r="P5" i="5"/>
  <c r="P9" i="5" s="1"/>
  <c r="P12" i="5" s="1"/>
  <c r="M5" i="5"/>
  <c r="L5" i="5"/>
  <c r="K5" i="5"/>
  <c r="J5" i="5"/>
  <c r="I5" i="5"/>
  <c r="H5" i="5"/>
  <c r="E5" i="5"/>
  <c r="D5" i="5"/>
  <c r="C5" i="5"/>
  <c r="Q4" i="5"/>
  <c r="P4" i="5"/>
  <c r="O4" i="5"/>
  <c r="O5" i="5" s="1"/>
  <c r="O9" i="5" s="1"/>
  <c r="O12" i="5" s="1"/>
  <c r="N4" i="5"/>
  <c r="N5" i="5" s="1"/>
  <c r="N9" i="5" s="1"/>
  <c r="M4" i="5"/>
  <c r="L4" i="5"/>
  <c r="K4" i="5"/>
  <c r="J4" i="5"/>
  <c r="I4" i="5"/>
  <c r="H4" i="5"/>
  <c r="G4" i="5"/>
  <c r="G5" i="5" s="1"/>
  <c r="F4" i="5"/>
  <c r="F5" i="5" s="1"/>
  <c r="E4" i="5"/>
  <c r="D4" i="5"/>
  <c r="C4" i="5"/>
  <c r="K19" i="3"/>
  <c r="J19" i="3"/>
  <c r="I19" i="3"/>
  <c r="N18" i="3"/>
  <c r="M18" i="3"/>
  <c r="L18" i="3"/>
  <c r="H18" i="3"/>
  <c r="G18" i="3"/>
  <c r="F18" i="3"/>
  <c r="E18" i="3"/>
  <c r="D18" i="3"/>
  <c r="C18" i="3"/>
  <c r="W17" i="3"/>
  <c r="V17" i="3"/>
  <c r="U17" i="3"/>
  <c r="T17" i="3"/>
  <c r="Z16" i="3"/>
  <c r="Z17" i="3" s="1"/>
  <c r="Y16" i="3"/>
  <c r="Y17" i="3" s="1"/>
  <c r="X16" i="3"/>
  <c r="G90" i="2" s="1"/>
  <c r="W16" i="3"/>
  <c r="V16" i="3"/>
  <c r="U16" i="3"/>
  <c r="T16" i="3"/>
  <c r="S16" i="3"/>
  <c r="S17" i="3" s="1"/>
  <c r="R16" i="3"/>
  <c r="R17" i="3" s="1"/>
  <c r="Q16" i="3"/>
  <c r="Q17" i="3" s="1"/>
  <c r="P16" i="3"/>
  <c r="P17" i="3" s="1"/>
  <c r="N10" i="3"/>
  <c r="M10" i="3"/>
  <c r="L10" i="3"/>
  <c r="K10" i="3"/>
  <c r="J10" i="3"/>
  <c r="I10" i="3"/>
  <c r="H10" i="3"/>
  <c r="G10" i="3"/>
  <c r="F10" i="3"/>
  <c r="E10" i="3"/>
  <c r="D10" i="3"/>
  <c r="C10" i="3"/>
  <c r="L101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N90" i="2"/>
  <c r="N101" i="2" s="1"/>
  <c r="L90" i="2"/>
  <c r="L96" i="2" s="1"/>
  <c r="I90" i="2"/>
  <c r="I101" i="2" s="1"/>
  <c r="D90" i="2"/>
  <c r="O86" i="2"/>
  <c r="O102" i="2" s="1"/>
  <c r="Q85" i="2"/>
  <c r="P85" i="2"/>
  <c r="O85" i="2"/>
  <c r="N85" i="2"/>
  <c r="N86" i="2" s="1"/>
  <c r="N102" i="2" s="1"/>
  <c r="M85" i="2"/>
  <c r="Q82" i="2"/>
  <c r="Q86" i="2" s="1"/>
  <c r="Q102" i="2" s="1"/>
  <c r="O82" i="2"/>
  <c r="N82" i="2"/>
  <c r="L82" i="2"/>
  <c r="K82" i="2"/>
  <c r="J82" i="2"/>
  <c r="I82" i="2"/>
  <c r="G82" i="2"/>
  <c r="F82" i="2"/>
  <c r="D82" i="2"/>
  <c r="C82" i="2"/>
  <c r="Q81" i="2"/>
  <c r="Q90" i="2" s="1"/>
  <c r="P81" i="2"/>
  <c r="O81" i="2"/>
  <c r="N81" i="2"/>
  <c r="M81" i="2"/>
  <c r="M82" i="2" s="1"/>
  <c r="M86" i="2" s="1"/>
  <c r="M102" i="2" s="1"/>
  <c r="L81" i="2"/>
  <c r="K81" i="2"/>
  <c r="J81" i="2"/>
  <c r="I81" i="2"/>
  <c r="H81" i="2"/>
  <c r="G81" i="2"/>
  <c r="F81" i="2"/>
  <c r="E81" i="2"/>
  <c r="E90" i="2" s="1"/>
  <c r="D81" i="2"/>
  <c r="C81" i="2"/>
  <c r="O77" i="2"/>
  <c r="O76" i="2"/>
  <c r="M75" i="2"/>
  <c r="I75" i="2"/>
  <c r="I77" i="2" s="1"/>
  <c r="H75" i="2"/>
  <c r="Q70" i="2"/>
  <c r="P70" i="2"/>
  <c r="M70" i="2"/>
  <c r="I70" i="2"/>
  <c r="H70" i="2"/>
  <c r="F70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O64" i="2"/>
  <c r="O75" i="2" s="1"/>
  <c r="N64" i="2"/>
  <c r="N75" i="2" s="1"/>
  <c r="N77" i="2" s="1"/>
  <c r="M64" i="2"/>
  <c r="G64" i="2"/>
  <c r="F64" i="2"/>
  <c r="F75" i="2" s="1"/>
  <c r="E64" i="2"/>
  <c r="E75" i="2" s="1"/>
  <c r="D64" i="2"/>
  <c r="D75" i="2" s="1"/>
  <c r="N61" i="2"/>
  <c r="N76" i="2" s="1"/>
  <c r="L61" i="2"/>
  <c r="L76" i="2" s="1"/>
  <c r="Q60" i="2"/>
  <c r="P60" i="2"/>
  <c r="O60" i="2"/>
  <c r="N60" i="2"/>
  <c r="L60" i="2"/>
  <c r="I60" i="2"/>
  <c r="I61" i="2" s="1"/>
  <c r="I76" i="2" s="1"/>
  <c r="H60" i="2"/>
  <c r="G60" i="2"/>
  <c r="F60" i="2"/>
  <c r="Q57" i="2"/>
  <c r="Q61" i="2" s="1"/>
  <c r="Q76" i="2" s="1"/>
  <c r="P57" i="2"/>
  <c r="P61" i="2" s="1"/>
  <c r="P76" i="2" s="1"/>
  <c r="O57" i="2"/>
  <c r="O61" i="2" s="1"/>
  <c r="M57" i="2"/>
  <c r="L57" i="2"/>
  <c r="I57" i="2"/>
  <c r="H57" i="2"/>
  <c r="G57" i="2"/>
  <c r="G61" i="2" s="1"/>
  <c r="G76" i="2" s="1"/>
  <c r="E57" i="2"/>
  <c r="D57" i="2"/>
  <c r="C57" i="2"/>
  <c r="Q56" i="2"/>
  <c r="Q64" i="2" s="1"/>
  <c r="Q75" i="2" s="1"/>
  <c r="P56" i="2"/>
  <c r="P64" i="2" s="1"/>
  <c r="P75" i="2" s="1"/>
  <c r="O56" i="2"/>
  <c r="N56" i="2"/>
  <c r="N57" i="2" s="1"/>
  <c r="M56" i="2"/>
  <c r="L56" i="2"/>
  <c r="L64" i="2" s="1"/>
  <c r="K56" i="2"/>
  <c r="K64" i="2" s="1"/>
  <c r="J56" i="2"/>
  <c r="I56" i="2"/>
  <c r="I64" i="2" s="1"/>
  <c r="H56" i="2"/>
  <c r="H64" i="2" s="1"/>
  <c r="G56" i="2"/>
  <c r="F56" i="2"/>
  <c r="F57" i="2" s="1"/>
  <c r="E56" i="2"/>
  <c r="D56" i="2"/>
  <c r="C56" i="2"/>
  <c r="C64" i="2" s="1"/>
  <c r="H51" i="2"/>
  <c r="N50" i="2"/>
  <c r="E50" i="2"/>
  <c r="C50" i="2"/>
  <c r="P45" i="2"/>
  <c r="J45" i="2"/>
  <c r="H45" i="2"/>
  <c r="Q42" i="2"/>
  <c r="P42" i="2"/>
  <c r="O42" i="2"/>
  <c r="N42" i="2"/>
  <c r="M42" i="2"/>
  <c r="L42" i="2"/>
  <c r="K42" i="2"/>
  <c r="J42" i="2"/>
  <c r="I42" i="2"/>
  <c r="H42" i="2"/>
  <c r="G42" i="2"/>
  <c r="G45" i="2" s="1"/>
  <c r="F42" i="2"/>
  <c r="E42" i="2"/>
  <c r="D42" i="2"/>
  <c r="C42" i="2"/>
  <c r="Q39" i="2"/>
  <c r="P39" i="2"/>
  <c r="P50" i="2" s="1"/>
  <c r="N39" i="2"/>
  <c r="M39" i="2"/>
  <c r="L39" i="2"/>
  <c r="L45" i="2" s="1"/>
  <c r="J39" i="2"/>
  <c r="J50" i="2" s="1"/>
  <c r="I39" i="2"/>
  <c r="I50" i="2" s="1"/>
  <c r="I52" i="2" s="1"/>
  <c r="H39" i="2"/>
  <c r="H50" i="2" s="1"/>
  <c r="H52" i="2" s="1"/>
  <c r="F39" i="2"/>
  <c r="D39" i="2"/>
  <c r="C39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Q35" i="2"/>
  <c r="Q51" i="2" s="1"/>
  <c r="J35" i="2"/>
  <c r="J51" i="2" s="1"/>
  <c r="J52" i="2" s="1"/>
  <c r="I35" i="2"/>
  <c r="I51" i="2" s="1"/>
  <c r="H35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Q31" i="2"/>
  <c r="P31" i="2"/>
  <c r="P35" i="2" s="1"/>
  <c r="P51" i="2" s="1"/>
  <c r="O31" i="2"/>
  <c r="N31" i="2"/>
  <c r="M31" i="2"/>
  <c r="M35" i="2" s="1"/>
  <c r="M51" i="2" s="1"/>
  <c r="J31" i="2"/>
  <c r="I31" i="2"/>
  <c r="H31" i="2"/>
  <c r="G31" i="2"/>
  <c r="G35" i="2" s="1"/>
  <c r="G51" i="2" s="1"/>
  <c r="F31" i="2"/>
  <c r="D31" i="2"/>
  <c r="D35" i="2" s="1"/>
  <c r="D51" i="2" s="1"/>
  <c r="Q30" i="2"/>
  <c r="P30" i="2"/>
  <c r="O30" i="2"/>
  <c r="O39" i="2" s="1"/>
  <c r="O50" i="2" s="1"/>
  <c r="N30" i="2"/>
  <c r="M30" i="2"/>
  <c r="L30" i="2"/>
  <c r="L31" i="2" s="1"/>
  <c r="L35" i="2" s="1"/>
  <c r="L51" i="2" s="1"/>
  <c r="K30" i="2"/>
  <c r="J30" i="2"/>
  <c r="I30" i="2"/>
  <c r="H30" i="2"/>
  <c r="G30" i="2"/>
  <c r="G39" i="2" s="1"/>
  <c r="G50" i="2" s="1"/>
  <c r="G52" i="2" s="1"/>
  <c r="F30" i="2"/>
  <c r="E30" i="2"/>
  <c r="E39" i="2" s="1"/>
  <c r="E45" i="2" s="1"/>
  <c r="D30" i="2"/>
  <c r="C30" i="2"/>
  <c r="Q15" i="2"/>
  <c r="R11" i="11" s="1"/>
  <c r="P15" i="2"/>
  <c r="Q11" i="11" s="1"/>
  <c r="O15" i="2"/>
  <c r="P11" i="11" s="1"/>
  <c r="N15" i="2"/>
  <c r="M15" i="2"/>
  <c r="L15" i="2"/>
  <c r="K15" i="2"/>
  <c r="J15" i="2"/>
  <c r="K11" i="11" s="1"/>
  <c r="I15" i="2"/>
  <c r="J11" i="11" s="1"/>
  <c r="H15" i="2"/>
  <c r="I11" i="11" s="1"/>
  <c r="G15" i="2"/>
  <c r="H11" i="11" s="1"/>
  <c r="F15" i="2"/>
  <c r="E15" i="2"/>
  <c r="D15" i="2"/>
  <c r="C15" i="2"/>
  <c r="P12" i="2"/>
  <c r="P18" i="2" s="1"/>
  <c r="O12" i="2"/>
  <c r="O18" i="2" s="1"/>
  <c r="N12" i="2"/>
  <c r="M12" i="2"/>
  <c r="H12" i="2"/>
  <c r="H23" i="2" s="1"/>
  <c r="G12" i="2"/>
  <c r="F12" i="2"/>
  <c r="E12" i="2"/>
  <c r="O9" i="2"/>
  <c r="O24" i="2" s="1"/>
  <c r="Q8" i="2"/>
  <c r="P8" i="2"/>
  <c r="P9" i="2" s="1"/>
  <c r="P24" i="2" s="1"/>
  <c r="O8" i="2"/>
  <c r="N8" i="2"/>
  <c r="P5" i="2"/>
  <c r="O5" i="2"/>
  <c r="M5" i="2"/>
  <c r="J5" i="2"/>
  <c r="H5" i="2"/>
  <c r="G5" i="2"/>
  <c r="E5" i="2"/>
  <c r="Q4" i="2"/>
  <c r="P4" i="2"/>
  <c r="O4" i="2"/>
  <c r="N4" i="2"/>
  <c r="N5" i="2" s="1"/>
  <c r="N9" i="2" s="1"/>
  <c r="N24" i="2" s="1"/>
  <c r="M4" i="2"/>
  <c r="L4" i="2"/>
  <c r="L12" i="2" s="1"/>
  <c r="K4" i="2"/>
  <c r="K12" i="2" s="1"/>
  <c r="J4" i="2"/>
  <c r="J12" i="2" s="1"/>
  <c r="I4" i="2"/>
  <c r="H4" i="2"/>
  <c r="G4" i="2"/>
  <c r="F4" i="2"/>
  <c r="F5" i="2" s="1"/>
  <c r="E4" i="2"/>
  <c r="D4" i="2"/>
  <c r="D12" i="2" s="1"/>
  <c r="C4" i="2"/>
  <c r="P26" i="2" l="1"/>
  <c r="O26" i="2"/>
  <c r="D8" i="15"/>
  <c r="D3" i="15"/>
  <c r="C12" i="2"/>
  <c r="C8" i="15" s="1"/>
  <c r="K18" i="2"/>
  <c r="D5" i="2"/>
  <c r="G11" i="11"/>
  <c r="O11" i="11"/>
  <c r="Q77" i="2"/>
  <c r="Q101" i="2"/>
  <c r="Q103" i="2" s="1"/>
  <c r="Q96" i="2"/>
  <c r="Q59" i="6" s="1"/>
  <c r="C29" i="6"/>
  <c r="E8" i="11"/>
  <c r="D18" i="2"/>
  <c r="D23" i="2"/>
  <c r="M8" i="11"/>
  <c r="L18" i="2"/>
  <c r="L23" i="2"/>
  <c r="M18" i="2"/>
  <c r="M23" i="2"/>
  <c r="J57" i="2"/>
  <c r="J64" i="2"/>
  <c r="G101" i="2"/>
  <c r="G96" i="2"/>
  <c r="P5" i="11"/>
  <c r="O52" i="5"/>
  <c r="D18" i="4" s="1"/>
  <c r="O8" i="11"/>
  <c r="N23" i="2"/>
  <c r="N25" i="2" s="1"/>
  <c r="N18" i="2"/>
  <c r="C70" i="2"/>
  <c r="C75" i="2"/>
  <c r="K70" i="2"/>
  <c r="K75" i="2"/>
  <c r="G70" i="2"/>
  <c r="G75" i="2"/>
  <c r="G77" i="2" s="1"/>
  <c r="J24" i="5"/>
  <c r="O23" i="2"/>
  <c r="O25" i="2" s="1"/>
  <c r="M45" i="2"/>
  <c r="M50" i="2"/>
  <c r="M52" i="2" s="1"/>
  <c r="L75" i="2"/>
  <c r="L77" i="2" s="1"/>
  <c r="L70" i="2"/>
  <c r="L44" i="6" s="1"/>
  <c r="G18" i="2"/>
  <c r="C45" i="2"/>
  <c r="N45" i="2"/>
  <c r="E52" i="2"/>
  <c r="D96" i="2"/>
  <c r="D101" i="2"/>
  <c r="N49" i="5"/>
  <c r="O5" i="11" s="1"/>
  <c r="G29" i="6"/>
  <c r="E96" i="2"/>
  <c r="E101" i="2"/>
  <c r="K5" i="2"/>
  <c r="F8" i="11"/>
  <c r="E18" i="2"/>
  <c r="E23" i="2"/>
  <c r="H18" i="2"/>
  <c r="K23" i="2"/>
  <c r="N35" i="2"/>
  <c r="N51" i="2" s="1"/>
  <c r="D45" i="2"/>
  <c r="D50" i="2"/>
  <c r="D52" i="2" s="1"/>
  <c r="P52" i="2"/>
  <c r="F61" i="2"/>
  <c r="F76" i="2" s="1"/>
  <c r="F77" i="2" s="1"/>
  <c r="H29" i="6"/>
  <c r="I12" i="2"/>
  <c r="I5" i="2"/>
  <c r="Q12" i="2"/>
  <c r="Q5" i="2"/>
  <c r="Q9" i="2" s="1"/>
  <c r="Q24" i="2" s="1"/>
  <c r="L5" i="2"/>
  <c r="F23" i="2"/>
  <c r="F18" i="2"/>
  <c r="P23" i="2"/>
  <c r="P25" i="2" s="1"/>
  <c r="D4" i="15"/>
  <c r="D9" i="15"/>
  <c r="C31" i="2"/>
  <c r="C35" i="2" s="1"/>
  <c r="K31" i="2"/>
  <c r="K35" i="2" s="1"/>
  <c r="K51" i="2" s="1"/>
  <c r="K39" i="2"/>
  <c r="E31" i="2"/>
  <c r="E35" i="2" s="1"/>
  <c r="E51" i="2" s="1"/>
  <c r="O35" i="2"/>
  <c r="O51" i="2" s="1"/>
  <c r="O52" i="2" s="1"/>
  <c r="F50" i="2"/>
  <c r="F45" i="2"/>
  <c r="F29" i="7" s="1"/>
  <c r="L50" i="2"/>
  <c r="L52" i="2" s="1"/>
  <c r="J23" i="2"/>
  <c r="C5" i="2"/>
  <c r="H8" i="11"/>
  <c r="G23" i="2"/>
  <c r="J18" i="2"/>
  <c r="F35" i="2"/>
  <c r="F51" i="2" s="1"/>
  <c r="N52" i="2"/>
  <c r="P77" i="2"/>
  <c r="H82" i="2"/>
  <c r="H90" i="2"/>
  <c r="P82" i="2"/>
  <c r="P86" i="2" s="1"/>
  <c r="P102" i="2" s="1"/>
  <c r="P90" i="2"/>
  <c r="Q8" i="11" s="1"/>
  <c r="N103" i="2"/>
  <c r="E29" i="6"/>
  <c r="F11" i="11"/>
  <c r="N11" i="11"/>
  <c r="O45" i="2"/>
  <c r="O29" i="6" s="1"/>
  <c r="K57" i="2"/>
  <c r="E82" i="2"/>
  <c r="F27" i="6"/>
  <c r="N27" i="6"/>
  <c r="M57" i="6"/>
  <c r="E29" i="7"/>
  <c r="N36" i="5"/>
  <c r="O6" i="11" s="1"/>
  <c r="P29" i="6"/>
  <c r="N57" i="6"/>
  <c r="O29" i="7"/>
  <c r="D10" i="15"/>
  <c r="D5" i="15"/>
  <c r="D70" i="2"/>
  <c r="D44" i="6" s="1"/>
  <c r="N70" i="2"/>
  <c r="H24" i="5"/>
  <c r="P24" i="5"/>
  <c r="Q5" i="11" s="1"/>
  <c r="O36" i="5"/>
  <c r="P6" i="11" s="1"/>
  <c r="Q42" i="6"/>
  <c r="O57" i="6"/>
  <c r="M29" i="7"/>
  <c r="P29" i="7"/>
  <c r="E70" i="2"/>
  <c r="O70" i="2"/>
  <c r="M90" i="2"/>
  <c r="I96" i="2"/>
  <c r="M49" i="5"/>
  <c r="P44" i="6"/>
  <c r="P57" i="6"/>
  <c r="O12" i="6"/>
  <c r="Q45" i="2"/>
  <c r="Q29" i="7" s="1"/>
  <c r="H61" i="2"/>
  <c r="H76" i="2" s="1"/>
  <c r="H77" i="2" s="1"/>
  <c r="O90" i="2"/>
  <c r="P8" i="11" s="1"/>
  <c r="X17" i="3"/>
  <c r="P52" i="5"/>
  <c r="D19" i="4" s="1"/>
  <c r="P12" i="6"/>
  <c r="O39" i="6"/>
  <c r="O42" i="6" s="1"/>
  <c r="Q62" i="7"/>
  <c r="N59" i="7"/>
  <c r="D11" i="11"/>
  <c r="L11" i="11"/>
  <c r="I45" i="2"/>
  <c r="I29" i="6" s="1"/>
  <c r="J90" i="2"/>
  <c r="K8" i="11" s="1"/>
  <c r="F90" i="2"/>
  <c r="G8" i="11" s="1"/>
  <c r="N96" i="2"/>
  <c r="J29" i="6"/>
  <c r="D27" i="6"/>
  <c r="L27" i="6"/>
  <c r="P62" i="7"/>
  <c r="P14" i="7"/>
  <c r="E11" i="11"/>
  <c r="M11" i="11"/>
  <c r="Q50" i="2"/>
  <c r="Q52" i="2" s="1"/>
  <c r="D11" i="15"/>
  <c r="D6" i="15"/>
  <c r="C90" i="2"/>
  <c r="K90" i="2"/>
  <c r="Q24" i="6"/>
  <c r="Q27" i="6" s="1"/>
  <c r="M27" i="6"/>
  <c r="N44" i="7"/>
  <c r="I27" i="7"/>
  <c r="L22" i="10"/>
  <c r="K22" i="10"/>
  <c r="J22" i="10"/>
  <c r="M22" i="10"/>
  <c r="I22" i="10"/>
  <c r="H22" i="10"/>
  <c r="G22" i="10"/>
  <c r="N22" i="10"/>
  <c r="P22" i="10"/>
  <c r="P32" i="10" s="1"/>
  <c r="O22" i="10"/>
  <c r="I44" i="7"/>
  <c r="K28" i="8"/>
  <c r="J28" i="8"/>
  <c r="I28" i="8"/>
  <c r="L28" i="8"/>
  <c r="P28" i="8"/>
  <c r="P35" i="8" s="1"/>
  <c r="O28" i="8"/>
  <c r="O35" i="8" s="1"/>
  <c r="N28" i="8"/>
  <c r="N35" i="8" s="1"/>
  <c r="H28" i="8"/>
  <c r="G28" i="8"/>
  <c r="G35" i="8" s="1"/>
  <c r="J29" i="7"/>
  <c r="C27" i="7"/>
  <c r="K27" i="7"/>
  <c r="M28" i="8"/>
  <c r="M35" i="8" s="1"/>
  <c r="D27" i="7"/>
  <c r="L29" i="7"/>
  <c r="O44" i="7"/>
  <c r="K22" i="8"/>
  <c r="J22" i="8"/>
  <c r="I22" i="8"/>
  <c r="L22" i="8"/>
  <c r="N22" i="8"/>
  <c r="M22" i="8"/>
  <c r="H22" i="8"/>
  <c r="O22" i="8"/>
  <c r="P22" i="8"/>
  <c r="G22" i="8"/>
  <c r="N29" i="7"/>
  <c r="P44" i="7"/>
  <c r="N42" i="6"/>
  <c r="G29" i="7"/>
  <c r="F42" i="7"/>
  <c r="N12" i="7"/>
  <c r="Q44" i="7"/>
  <c r="G42" i="7"/>
  <c r="N12" i="6"/>
  <c r="O12" i="7"/>
  <c r="H27" i="7"/>
  <c r="H42" i="7"/>
  <c r="L42" i="7"/>
  <c r="Q57" i="7"/>
  <c r="P32" i="8"/>
  <c r="G32" i="10"/>
  <c r="G34" i="10"/>
  <c r="L28" i="10"/>
  <c r="L35" i="10" s="1"/>
  <c r="K28" i="10"/>
  <c r="K35" i="10" s="1"/>
  <c r="J28" i="10"/>
  <c r="J35" i="10" s="1"/>
  <c r="M28" i="10"/>
  <c r="M35" i="10" s="1"/>
  <c r="P28" i="10"/>
  <c r="O28" i="10"/>
  <c r="N28" i="10"/>
  <c r="N35" i="10" s="1"/>
  <c r="K20" i="8"/>
  <c r="J20" i="8"/>
  <c r="J32" i="8" s="1"/>
  <c r="G3" i="8"/>
  <c r="Q20" i="8"/>
  <c r="Q32" i="8" s="1"/>
  <c r="I20" i="8"/>
  <c r="I32" i="8" s="1"/>
  <c r="L20" i="8"/>
  <c r="M20" i="8"/>
  <c r="M32" i="8" s="1"/>
  <c r="H20" i="8"/>
  <c r="G20" i="8"/>
  <c r="G32" i="8" s="1"/>
  <c r="N20" i="8"/>
  <c r="N32" i="8" s="1"/>
  <c r="G28" i="10"/>
  <c r="G4" i="15"/>
  <c r="H4" i="15" s="1"/>
  <c r="AK24" i="14"/>
  <c r="G6" i="15"/>
  <c r="G5" i="15"/>
  <c r="H5" i="15" s="1"/>
  <c r="G3" i="15"/>
  <c r="H3" i="15" s="1"/>
  <c r="O20" i="8"/>
  <c r="K20" i="10"/>
  <c r="K32" i="10" s="1"/>
  <c r="J20" i="10"/>
  <c r="J32" i="10" s="1"/>
  <c r="G3" i="10"/>
  <c r="Q20" i="10"/>
  <c r="Q32" i="10" s="1"/>
  <c r="I20" i="10"/>
  <c r="I32" i="10" s="1"/>
  <c r="L20" i="10"/>
  <c r="L32" i="10" s="1"/>
  <c r="N20" i="10"/>
  <c r="N32" i="10" s="1"/>
  <c r="M20" i="10"/>
  <c r="M32" i="10" s="1"/>
  <c r="H20" i="10"/>
  <c r="H32" i="10" s="1"/>
  <c r="O20" i="10"/>
  <c r="O32" i="10" s="1"/>
  <c r="H28" i="10"/>
  <c r="G34" i="8"/>
  <c r="I29" i="10"/>
  <c r="I35" i="10" s="1"/>
  <c r="P29" i="10"/>
  <c r="H29" i="10"/>
  <c r="O29" i="10"/>
  <c r="G29" i="10"/>
  <c r="J29" i="10"/>
  <c r="M34" i="8"/>
  <c r="K29" i="8"/>
  <c r="J29" i="8"/>
  <c r="I29" i="8"/>
  <c r="L29" i="8"/>
  <c r="M57" i="7"/>
  <c r="U32" i="8"/>
  <c r="N34" i="8"/>
  <c r="K27" i="8"/>
  <c r="K34" i="8" s="1"/>
  <c r="J27" i="8"/>
  <c r="J34" i="8" s="1"/>
  <c r="Q27" i="8"/>
  <c r="Q34" i="8" s="1"/>
  <c r="I27" i="8"/>
  <c r="I34" i="8" s="1"/>
  <c r="L27" i="8"/>
  <c r="L34" i="8" s="1"/>
  <c r="K21" i="8"/>
  <c r="J21" i="8"/>
  <c r="I21" i="8"/>
  <c r="L21" i="8"/>
  <c r="O34" i="8"/>
  <c r="G27" i="8"/>
  <c r="H29" i="8"/>
  <c r="I27" i="10"/>
  <c r="I34" i="10" s="1"/>
  <c r="Q27" i="10"/>
  <c r="Q34" i="10" s="1"/>
  <c r="N27" i="10"/>
  <c r="N34" i="10" s="1"/>
  <c r="G27" i="10"/>
  <c r="O27" i="10"/>
  <c r="O34" i="10" s="1"/>
  <c r="H27" i="10"/>
  <c r="H34" i="10" s="1"/>
  <c r="H32" i="5" l="1"/>
  <c r="H33" i="5" s="1"/>
  <c r="H36" i="5" s="1"/>
  <c r="I6" i="11" s="1"/>
  <c r="H38" i="6"/>
  <c r="H39" i="6" s="1"/>
  <c r="H42" i="6" s="1"/>
  <c r="E38" i="7"/>
  <c r="E39" i="7" s="1"/>
  <c r="E42" i="7" s="1"/>
  <c r="E60" i="2"/>
  <c r="E61" i="2" s="1"/>
  <c r="E76" i="2" s="1"/>
  <c r="E77" i="2" s="1"/>
  <c r="D38" i="7"/>
  <c r="D39" i="7" s="1"/>
  <c r="D42" i="7" s="1"/>
  <c r="D60" i="2"/>
  <c r="D61" i="2" s="1"/>
  <c r="D76" i="2" s="1"/>
  <c r="D77" i="2" s="1"/>
  <c r="E53" i="7"/>
  <c r="E54" i="7" s="1"/>
  <c r="E57" i="7" s="1"/>
  <c r="E85" i="2"/>
  <c r="E86" i="2" s="1"/>
  <c r="E102" i="2" s="1"/>
  <c r="E103" i="2" s="1"/>
  <c r="L8" i="7"/>
  <c r="L9" i="7" s="1"/>
  <c r="L12" i="7" s="1"/>
  <c r="L8" i="2"/>
  <c r="H8" i="7"/>
  <c r="H9" i="7" s="1"/>
  <c r="H12" i="7" s="1"/>
  <c r="H8" i="2"/>
  <c r="H9" i="2" s="1"/>
  <c r="H24" i="2" s="1"/>
  <c r="H25" i="2" s="1"/>
  <c r="I53" i="7"/>
  <c r="I54" i="7" s="1"/>
  <c r="I57" i="7" s="1"/>
  <c r="I85" i="2"/>
  <c r="I86" i="2" s="1"/>
  <c r="I102" i="2" s="1"/>
  <c r="I103" i="2" s="1"/>
  <c r="C53" i="6"/>
  <c r="C54" i="6" s="1"/>
  <c r="C57" i="6" s="1"/>
  <c r="C44" i="5"/>
  <c r="C45" i="5" s="1"/>
  <c r="C49" i="5" s="1"/>
  <c r="K35" i="8"/>
  <c r="M96" i="2"/>
  <c r="M101" i="2"/>
  <c r="M103" i="2" s="1"/>
  <c r="N59" i="6"/>
  <c r="H101" i="2"/>
  <c r="H96" i="2"/>
  <c r="K50" i="2"/>
  <c r="K52" i="2" s="1"/>
  <c r="K45" i="2"/>
  <c r="K29" i="6" s="1"/>
  <c r="M26" i="2"/>
  <c r="M106" i="2"/>
  <c r="F16" i="1" s="1"/>
  <c r="H8" i="15"/>
  <c r="H11" i="15"/>
  <c r="I11" i="15" s="1"/>
  <c r="H10" i="15"/>
  <c r="I10" i="15" s="1"/>
  <c r="H9" i="15"/>
  <c r="I9" i="15" s="1"/>
  <c r="C38" i="7"/>
  <c r="C39" i="7" s="1"/>
  <c r="C42" i="7" s="1"/>
  <c r="C60" i="2"/>
  <c r="F44" i="7"/>
  <c r="C8" i="7"/>
  <c r="C9" i="7" s="1"/>
  <c r="C12" i="7" s="1"/>
  <c r="C8" i="2"/>
  <c r="D29" i="7"/>
  <c r="I29" i="7"/>
  <c r="K61" i="2"/>
  <c r="K76" i="2" s="1"/>
  <c r="K77" i="2" s="1"/>
  <c r="L9" i="2"/>
  <c r="L24" i="2" s="1"/>
  <c r="G106" i="2"/>
  <c r="F8" i="1" s="1"/>
  <c r="G26" i="2"/>
  <c r="N26" i="2"/>
  <c r="N106" i="2"/>
  <c r="F17" i="1" s="1"/>
  <c r="N8" i="11"/>
  <c r="K38" i="6"/>
  <c r="K39" i="6" s="1"/>
  <c r="K42" i="6" s="1"/>
  <c r="K32" i="5"/>
  <c r="K33" i="5" s="1"/>
  <c r="K36" i="5" s="1"/>
  <c r="L6" i="11" s="1"/>
  <c r="F32" i="5"/>
  <c r="F33" i="5" s="1"/>
  <c r="F36" i="5" s="1"/>
  <c r="G6" i="11" s="1"/>
  <c r="F38" i="6"/>
  <c r="F39" i="6" s="1"/>
  <c r="F42" i="6" s="1"/>
  <c r="E8" i="7"/>
  <c r="E9" i="7" s="1"/>
  <c r="E12" i="7" s="1"/>
  <c r="E8" i="2"/>
  <c r="E9" i="2" s="1"/>
  <c r="E24" i="2" s="1"/>
  <c r="E25" i="2" s="1"/>
  <c r="E107" i="2" s="1"/>
  <c r="F8" i="5"/>
  <c r="F9" i="5" s="1"/>
  <c r="F12" i="5" s="1"/>
  <c r="F8" i="6"/>
  <c r="F9" i="6" s="1"/>
  <c r="F12" i="6" s="1"/>
  <c r="F53" i="7"/>
  <c r="F54" i="7" s="1"/>
  <c r="F57" i="7" s="1"/>
  <c r="F85" i="2"/>
  <c r="F86" i="2" s="1"/>
  <c r="F102" i="2" s="1"/>
  <c r="H44" i="7"/>
  <c r="H35" i="8"/>
  <c r="I38" i="6"/>
  <c r="I39" i="6" s="1"/>
  <c r="I42" i="6" s="1"/>
  <c r="I32" i="5"/>
  <c r="I33" i="5" s="1"/>
  <c r="I36" i="5" s="1"/>
  <c r="J6" i="11" s="1"/>
  <c r="M8" i="7"/>
  <c r="M9" i="7" s="1"/>
  <c r="M12" i="7" s="1"/>
  <c r="M8" i="2"/>
  <c r="M9" i="2" s="1"/>
  <c r="M24" i="2" s="1"/>
  <c r="C8" i="5"/>
  <c r="C9" i="5" s="1"/>
  <c r="C12" i="5" s="1"/>
  <c r="C8" i="6"/>
  <c r="C9" i="6" s="1"/>
  <c r="C12" i="6" s="1"/>
  <c r="K32" i="8"/>
  <c r="G53" i="7"/>
  <c r="G54" i="7" s="1"/>
  <c r="G57" i="7" s="1"/>
  <c r="G85" i="2"/>
  <c r="G86" i="2" s="1"/>
  <c r="G102" i="2" s="1"/>
  <c r="G103" i="2" s="1"/>
  <c r="L8" i="6"/>
  <c r="L9" i="6" s="1"/>
  <c r="L12" i="6" s="1"/>
  <c r="L8" i="5"/>
  <c r="L9" i="5" s="1"/>
  <c r="L12" i="5" s="1"/>
  <c r="H29" i="7"/>
  <c r="I44" i="5"/>
  <c r="I45" i="5" s="1"/>
  <c r="I49" i="5" s="1"/>
  <c r="I53" i="6"/>
  <c r="I54" i="6" s="1"/>
  <c r="I57" i="6" s="1"/>
  <c r="J53" i="6"/>
  <c r="J54" i="6" s="1"/>
  <c r="J57" i="6" s="1"/>
  <c r="J44" i="5"/>
  <c r="J45" i="5" s="1"/>
  <c r="J49" i="5" s="1"/>
  <c r="M29" i="6"/>
  <c r="C4" i="15"/>
  <c r="I4" i="15" s="1"/>
  <c r="C51" i="2"/>
  <c r="C52" i="2" s="1"/>
  <c r="N52" i="5"/>
  <c r="D17" i="4" s="1"/>
  <c r="O107" i="2"/>
  <c r="N107" i="2"/>
  <c r="L25" i="2"/>
  <c r="K38" i="7"/>
  <c r="K39" i="7" s="1"/>
  <c r="K42" i="7" s="1"/>
  <c r="K60" i="2"/>
  <c r="G32" i="5"/>
  <c r="G33" i="5" s="1"/>
  <c r="G36" i="5" s="1"/>
  <c r="H6" i="11" s="1"/>
  <c r="G38" i="6"/>
  <c r="G39" i="6" s="1"/>
  <c r="G42" i="6" s="1"/>
  <c r="C38" i="6"/>
  <c r="C39" i="6" s="1"/>
  <c r="C42" i="6" s="1"/>
  <c r="C32" i="5"/>
  <c r="C33" i="5" s="1"/>
  <c r="C36" i="5" s="1"/>
  <c r="D6" i="11" s="1"/>
  <c r="J8" i="6"/>
  <c r="J9" i="6" s="1"/>
  <c r="J12" i="6" s="1"/>
  <c r="J8" i="5"/>
  <c r="J9" i="5" s="1"/>
  <c r="J12" i="5" s="1"/>
  <c r="N44" i="6"/>
  <c r="J38" i="6"/>
  <c r="J39" i="6" s="1"/>
  <c r="J42" i="6" s="1"/>
  <c r="J32" i="5"/>
  <c r="J33" i="5" s="1"/>
  <c r="J36" i="5" s="1"/>
  <c r="K6" i="11" s="1"/>
  <c r="H35" i="10"/>
  <c r="J38" i="7"/>
  <c r="J39" i="7" s="1"/>
  <c r="J42" i="7" s="1"/>
  <c r="J60" i="2"/>
  <c r="Q8" i="6"/>
  <c r="Q9" i="6" s="1"/>
  <c r="Q12" i="6" s="1"/>
  <c r="Q8" i="5"/>
  <c r="Q9" i="5" s="1"/>
  <c r="Q12" i="5" s="1"/>
  <c r="H6" i="15"/>
  <c r="H32" i="8"/>
  <c r="H53" i="7"/>
  <c r="H54" i="7" s="1"/>
  <c r="H57" i="7" s="1"/>
  <c r="H85" i="2"/>
  <c r="H86" i="2" s="1"/>
  <c r="H102" i="2" s="1"/>
  <c r="Q59" i="7"/>
  <c r="O62" i="7"/>
  <c r="O14" i="7"/>
  <c r="G44" i="7"/>
  <c r="K53" i="6"/>
  <c r="K54" i="6" s="1"/>
  <c r="K57" i="6" s="1"/>
  <c r="K44" i="5"/>
  <c r="K45" i="5" s="1"/>
  <c r="K49" i="5" s="1"/>
  <c r="Q29" i="6"/>
  <c r="F101" i="2"/>
  <c r="F103" i="2" s="1"/>
  <c r="F96" i="2"/>
  <c r="Q44" i="6"/>
  <c r="R8" i="11"/>
  <c r="Q18" i="2"/>
  <c r="Q23" i="2"/>
  <c r="Q25" i="2" s="1"/>
  <c r="Q107" i="2" s="1"/>
  <c r="L26" i="2"/>
  <c r="L106" i="2"/>
  <c r="F14" i="1" s="1"/>
  <c r="I8" i="11"/>
  <c r="O106" i="2"/>
  <c r="F18" i="1" s="1"/>
  <c r="L53" i="6"/>
  <c r="L54" i="6" s="1"/>
  <c r="L57" i="6" s="1"/>
  <c r="L44" i="5"/>
  <c r="L45" i="5" s="1"/>
  <c r="L49" i="5" s="1"/>
  <c r="J101" i="2"/>
  <c r="J103" i="2" s="1"/>
  <c r="J96" i="2"/>
  <c r="M59" i="6"/>
  <c r="I9" i="2"/>
  <c r="I24" i="2" s="1"/>
  <c r="H106" i="2"/>
  <c r="F10" i="1" s="1"/>
  <c r="H26" i="2"/>
  <c r="M38" i="7"/>
  <c r="M39" i="7" s="1"/>
  <c r="M42" i="7" s="1"/>
  <c r="M60" i="2"/>
  <c r="M61" i="2" s="1"/>
  <c r="M76" i="2" s="1"/>
  <c r="M77" i="2" s="1"/>
  <c r="K8" i="7"/>
  <c r="K9" i="7" s="1"/>
  <c r="K12" i="7" s="1"/>
  <c r="K8" i="2"/>
  <c r="K9" i="2" s="1"/>
  <c r="K24" i="2" s="1"/>
  <c r="K25" i="2" s="1"/>
  <c r="I8" i="6"/>
  <c r="I9" i="6" s="1"/>
  <c r="I12" i="6" s="1"/>
  <c r="I8" i="5"/>
  <c r="I9" i="5" s="1"/>
  <c r="I12" i="5" s="1"/>
  <c r="G8" i="7"/>
  <c r="G9" i="7" s="1"/>
  <c r="G12" i="7" s="1"/>
  <c r="G8" i="2"/>
  <c r="G9" i="2" s="1"/>
  <c r="G24" i="2" s="1"/>
  <c r="G25" i="2" s="1"/>
  <c r="G107" i="2" s="1"/>
  <c r="L32" i="8"/>
  <c r="J53" i="7"/>
  <c r="J54" i="7" s="1"/>
  <c r="J57" i="7" s="1"/>
  <c r="J85" i="2"/>
  <c r="J86" i="2" s="1"/>
  <c r="J102" i="2" s="1"/>
  <c r="L44" i="7"/>
  <c r="N14" i="6"/>
  <c r="N64" i="6" s="1"/>
  <c r="N62" i="6"/>
  <c r="N62" i="7"/>
  <c r="N14" i="7"/>
  <c r="N64" i="7" s="1"/>
  <c r="K29" i="7"/>
  <c r="L35" i="8"/>
  <c r="L29" i="6"/>
  <c r="O96" i="2"/>
  <c r="O59" i="7" s="1"/>
  <c r="O101" i="2"/>
  <c r="O103" i="2" s="1"/>
  <c r="O62" i="6"/>
  <c r="O14" i="6"/>
  <c r="F52" i="2"/>
  <c r="J8" i="11"/>
  <c r="I18" i="2"/>
  <c r="I23" i="2"/>
  <c r="J70" i="2"/>
  <c r="J75" i="2"/>
  <c r="K26" i="2"/>
  <c r="I8" i="7"/>
  <c r="I9" i="7" s="1"/>
  <c r="I12" i="7" s="1"/>
  <c r="I8" i="2"/>
  <c r="O32" i="8"/>
  <c r="G35" i="10"/>
  <c r="E8" i="5"/>
  <c r="E9" i="5" s="1"/>
  <c r="E12" i="5" s="1"/>
  <c r="E8" i="6"/>
  <c r="E9" i="6" s="1"/>
  <c r="E12" i="6" s="1"/>
  <c r="O35" i="10"/>
  <c r="C29" i="7"/>
  <c r="I35" i="8"/>
  <c r="K96" i="2"/>
  <c r="K106" i="2" s="1"/>
  <c r="F13" i="1" s="1"/>
  <c r="K101" i="2"/>
  <c r="D29" i="6"/>
  <c r="O44" i="6"/>
  <c r="N29" i="6"/>
  <c r="P101" i="2"/>
  <c r="P103" i="2" s="1"/>
  <c r="P107" i="2" s="1"/>
  <c r="P96" i="2"/>
  <c r="J26" i="2"/>
  <c r="J106" i="2"/>
  <c r="F12" i="1" s="1"/>
  <c r="F106" i="2"/>
  <c r="F7" i="1" s="1"/>
  <c r="F26" i="2"/>
  <c r="E26" i="2"/>
  <c r="E106" i="2"/>
  <c r="F6" i="1" s="1"/>
  <c r="J61" i="2"/>
  <c r="J76" i="2" s="1"/>
  <c r="D26" i="2"/>
  <c r="D106" i="2"/>
  <c r="F5" i="1" s="1"/>
  <c r="L8" i="11"/>
  <c r="M59" i="7"/>
  <c r="F8" i="7"/>
  <c r="F9" i="7" s="1"/>
  <c r="F12" i="7" s="1"/>
  <c r="F8" i="2"/>
  <c r="F9" i="2" s="1"/>
  <c r="F24" i="2" s="1"/>
  <c r="D8" i="7"/>
  <c r="D9" i="7" s="1"/>
  <c r="D12" i="7" s="1"/>
  <c r="D8" i="2"/>
  <c r="D9" i="2" s="1"/>
  <c r="D24" i="2" s="1"/>
  <c r="D25" i="2" s="1"/>
  <c r="E38" i="6"/>
  <c r="E39" i="6" s="1"/>
  <c r="E42" i="6" s="1"/>
  <c r="E32" i="5"/>
  <c r="E33" i="5" s="1"/>
  <c r="E36" i="5" s="1"/>
  <c r="F6" i="11" s="1"/>
  <c r="M38" i="6"/>
  <c r="M39" i="6" s="1"/>
  <c r="M42" i="6" s="1"/>
  <c r="M32" i="5"/>
  <c r="M33" i="5" s="1"/>
  <c r="M36" i="5" s="1"/>
  <c r="N6" i="11" s="1"/>
  <c r="J8" i="7"/>
  <c r="J9" i="7" s="1"/>
  <c r="J12" i="7" s="1"/>
  <c r="J8" i="2"/>
  <c r="J9" i="2" s="1"/>
  <c r="J24" i="2" s="1"/>
  <c r="J25" i="2" s="1"/>
  <c r="M8" i="5"/>
  <c r="M9" i="5" s="1"/>
  <c r="M12" i="5" s="1"/>
  <c r="M8" i="6"/>
  <c r="M9" i="6" s="1"/>
  <c r="M12" i="6" s="1"/>
  <c r="P35" i="10"/>
  <c r="J35" i="8"/>
  <c r="C96" i="2"/>
  <c r="C101" i="2"/>
  <c r="C11" i="11"/>
  <c r="P14" i="6"/>
  <c r="P62" i="6"/>
  <c r="F29" i="6"/>
  <c r="F25" i="2"/>
  <c r="M25" i="2"/>
  <c r="M107" i="2" s="1"/>
  <c r="I8" i="15"/>
  <c r="D8" i="11"/>
  <c r="C18" i="2"/>
  <c r="C23" i="2"/>
  <c r="C8" i="11" l="1"/>
  <c r="V8" i="11" s="1"/>
  <c r="N5" i="11"/>
  <c r="M52" i="5"/>
  <c r="D16" i="4" s="1"/>
  <c r="C44" i="6"/>
  <c r="M14" i="6"/>
  <c r="M62" i="6"/>
  <c r="P106" i="2"/>
  <c r="F19" i="1" s="1"/>
  <c r="F21" i="1" s="1"/>
  <c r="P59" i="7"/>
  <c r="P64" i="7" s="1"/>
  <c r="K103" i="2"/>
  <c r="K107" i="2" s="1"/>
  <c r="O64" i="6"/>
  <c r="J5" i="11"/>
  <c r="I52" i="5"/>
  <c r="D11" i="4" s="1"/>
  <c r="D14" i="7"/>
  <c r="K8" i="6"/>
  <c r="K9" i="6" s="1"/>
  <c r="K12" i="6" s="1"/>
  <c r="K8" i="5"/>
  <c r="K9" i="5" s="1"/>
  <c r="K12" i="5" s="1"/>
  <c r="K59" i="6"/>
  <c r="D53" i="7"/>
  <c r="D54" i="7" s="1"/>
  <c r="D57" i="7" s="1"/>
  <c r="D62" i="7" s="1"/>
  <c r="D85" i="2"/>
  <c r="D86" i="2" s="1"/>
  <c r="D102" i="2" s="1"/>
  <c r="D103" i="2" s="1"/>
  <c r="D107" i="2" s="1"/>
  <c r="I44" i="6"/>
  <c r="C14" i="7"/>
  <c r="F107" i="2"/>
  <c r="E53" i="6"/>
  <c r="E54" i="6" s="1"/>
  <c r="E57" i="6" s="1"/>
  <c r="E44" i="5"/>
  <c r="E45" i="5" s="1"/>
  <c r="E49" i="5" s="1"/>
  <c r="H59" i="7"/>
  <c r="G44" i="6"/>
  <c r="J59" i="6"/>
  <c r="G59" i="7"/>
  <c r="D53" i="6"/>
  <c r="D54" i="6" s="1"/>
  <c r="D57" i="6" s="1"/>
  <c r="D44" i="5"/>
  <c r="D45" i="5" s="1"/>
  <c r="D49" i="5" s="1"/>
  <c r="E62" i="7"/>
  <c r="E14" i="7"/>
  <c r="E64" i="7" s="1"/>
  <c r="O59" i="6"/>
  <c r="H103" i="2"/>
  <c r="C59" i="6"/>
  <c r="E59" i="7"/>
  <c r="C53" i="7"/>
  <c r="C54" i="7" s="1"/>
  <c r="C57" i="7" s="1"/>
  <c r="C85" i="2"/>
  <c r="C86" i="2" s="1"/>
  <c r="H44" i="5"/>
  <c r="H45" i="5" s="1"/>
  <c r="H49" i="5" s="1"/>
  <c r="H53" i="6"/>
  <c r="H54" i="6" s="1"/>
  <c r="H57" i="6" s="1"/>
  <c r="D8" i="6"/>
  <c r="D9" i="6" s="1"/>
  <c r="D12" i="6" s="1"/>
  <c r="D8" i="5"/>
  <c r="D9" i="5" s="1"/>
  <c r="D12" i="5" s="1"/>
  <c r="J44" i="6"/>
  <c r="I59" i="6"/>
  <c r="G8" i="5"/>
  <c r="G9" i="5" s="1"/>
  <c r="G12" i="5" s="1"/>
  <c r="G8" i="6"/>
  <c r="G9" i="6" s="1"/>
  <c r="G12" i="6" s="1"/>
  <c r="F44" i="6"/>
  <c r="F53" i="6"/>
  <c r="F54" i="6" s="1"/>
  <c r="F57" i="6" s="1"/>
  <c r="F44" i="5"/>
  <c r="F45" i="5" s="1"/>
  <c r="F49" i="5" s="1"/>
  <c r="F52" i="5" s="1"/>
  <c r="D7" i="4" s="1"/>
  <c r="I62" i="6"/>
  <c r="I14" i="6"/>
  <c r="V11" i="11"/>
  <c r="C9" i="11"/>
  <c r="V9" i="11" s="1"/>
  <c r="J14" i="7"/>
  <c r="J62" i="7"/>
  <c r="F62" i="7"/>
  <c r="F14" i="7"/>
  <c r="F64" i="7" s="1"/>
  <c r="I62" i="7"/>
  <c r="I14" i="7"/>
  <c r="I64" i="7" s="1"/>
  <c r="I25" i="2"/>
  <c r="I107" i="2" s="1"/>
  <c r="K14" i="7"/>
  <c r="I106" i="2"/>
  <c r="F11" i="1" s="1"/>
  <c r="F15" i="1" s="1"/>
  <c r="I26" i="2"/>
  <c r="J59" i="7"/>
  <c r="O64" i="7"/>
  <c r="C14" i="6"/>
  <c r="C64" i="6" s="1"/>
  <c r="C62" i="6"/>
  <c r="G6" i="13"/>
  <c r="H6" i="13" s="1"/>
  <c r="I6" i="13" s="1"/>
  <c r="C61" i="2"/>
  <c r="I59" i="7"/>
  <c r="D44" i="7"/>
  <c r="C26" i="2"/>
  <c r="C106" i="2"/>
  <c r="F4" i="1" s="1"/>
  <c r="F9" i="1" s="1"/>
  <c r="M44" i="6"/>
  <c r="K53" i="7"/>
  <c r="K54" i="7" s="1"/>
  <c r="K57" i="7" s="1"/>
  <c r="K85" i="2"/>
  <c r="K86" i="2" s="1"/>
  <c r="K102" i="2" s="1"/>
  <c r="H8" i="6"/>
  <c r="H9" i="6" s="1"/>
  <c r="H12" i="6" s="1"/>
  <c r="H8" i="5"/>
  <c r="H9" i="5" s="1"/>
  <c r="H12" i="5" s="1"/>
  <c r="M44" i="7"/>
  <c r="R5" i="11"/>
  <c r="Q52" i="5"/>
  <c r="D20" i="4" s="1"/>
  <c r="K44" i="7"/>
  <c r="D5" i="11"/>
  <c r="C52" i="5"/>
  <c r="D4" i="4" s="1"/>
  <c r="C44" i="7"/>
  <c r="H107" i="2"/>
  <c r="E62" i="6"/>
  <c r="E14" i="6"/>
  <c r="Q62" i="6"/>
  <c r="Q14" i="6"/>
  <c r="Q64" i="6" s="1"/>
  <c r="K5" i="11"/>
  <c r="J52" i="5"/>
  <c r="D12" i="4" s="1"/>
  <c r="L107" i="2"/>
  <c r="P59" i="6"/>
  <c r="P64" i="6" s="1"/>
  <c r="F59" i="7"/>
  <c r="K44" i="6"/>
  <c r="C9" i="2"/>
  <c r="H62" i="7"/>
  <c r="H14" i="7"/>
  <c r="E44" i="7"/>
  <c r="L53" i="7"/>
  <c r="L54" i="7" s="1"/>
  <c r="L57" i="7" s="1"/>
  <c r="L85" i="2"/>
  <c r="L86" i="2" s="1"/>
  <c r="L102" i="2" s="1"/>
  <c r="L103" i="2" s="1"/>
  <c r="E44" i="6"/>
  <c r="F5" i="11"/>
  <c r="E52" i="5"/>
  <c r="D6" i="4" s="1"/>
  <c r="J77" i="2"/>
  <c r="J107" i="2" s="1"/>
  <c r="G62" i="7"/>
  <c r="G14" i="7"/>
  <c r="G64" i="7" s="1"/>
  <c r="L59" i="6"/>
  <c r="J62" i="6"/>
  <c r="J14" i="6"/>
  <c r="M5" i="11"/>
  <c r="L52" i="5"/>
  <c r="D14" i="4" s="1"/>
  <c r="M62" i="7"/>
  <c r="M14" i="7"/>
  <c r="M64" i="7" s="1"/>
  <c r="F62" i="6"/>
  <c r="F14" i="6"/>
  <c r="H44" i="6"/>
  <c r="Q106" i="2"/>
  <c r="F20" i="1" s="1"/>
  <c r="Q26" i="2"/>
  <c r="Q14" i="7"/>
  <c r="Q64" i="7" s="1"/>
  <c r="J44" i="7"/>
  <c r="C6" i="11"/>
  <c r="V6" i="11" s="1"/>
  <c r="L14" i="6"/>
  <c r="L62" i="6"/>
  <c r="G5" i="11"/>
  <c r="G53" i="6"/>
  <c r="G54" i="6" s="1"/>
  <c r="G57" i="6" s="1"/>
  <c r="G44" i="5"/>
  <c r="G45" i="5" s="1"/>
  <c r="G49" i="5" s="1"/>
  <c r="L14" i="7"/>
  <c r="L62" i="7"/>
  <c r="K14" i="6" l="1"/>
  <c r="K64" i="6" s="1"/>
  <c r="K62" i="6"/>
  <c r="H64" i="7"/>
  <c r="K59" i="7"/>
  <c r="K64" i="7" s="1"/>
  <c r="J64" i="7"/>
  <c r="C6" i="15"/>
  <c r="I6" i="15" s="1"/>
  <c r="C102" i="2"/>
  <c r="C103" i="2" s="1"/>
  <c r="C59" i="7"/>
  <c r="C64" i="7"/>
  <c r="F59" i="6"/>
  <c r="L5" i="11"/>
  <c r="K52" i="5"/>
  <c r="D13" i="4" s="1"/>
  <c r="D21" i="4"/>
  <c r="C5" i="15"/>
  <c r="I5" i="15" s="1"/>
  <c r="C76" i="2"/>
  <c r="C77" i="2" s="1"/>
  <c r="C62" i="7"/>
  <c r="F23" i="1"/>
  <c r="L59" i="7"/>
  <c r="L64" i="7" s="1"/>
  <c r="I5" i="11"/>
  <c r="H52" i="5"/>
  <c r="D10" i="4" s="1"/>
  <c r="D15" i="4" s="1"/>
  <c r="K62" i="7"/>
  <c r="I64" i="6"/>
  <c r="D14" i="6"/>
  <c r="D62" i="6"/>
  <c r="D59" i="6"/>
  <c r="G5" i="13"/>
  <c r="H5" i="13" s="1"/>
  <c r="I5" i="13" s="1"/>
  <c r="C3" i="15"/>
  <c r="I3" i="15" s="1"/>
  <c r="C24" i="2"/>
  <c r="C25" i="2" s="1"/>
  <c r="H14" i="6"/>
  <c r="H64" i="6" s="1"/>
  <c r="H62" i="6"/>
  <c r="G62" i="6"/>
  <c r="G14" i="6"/>
  <c r="G64" i="6" s="1"/>
  <c r="H59" i="6"/>
  <c r="D64" i="7"/>
  <c r="L64" i="6"/>
  <c r="E5" i="11"/>
  <c r="C5" i="11" s="1"/>
  <c r="D52" i="5"/>
  <c r="D5" i="4" s="1"/>
  <c r="D9" i="4" s="1"/>
  <c r="G59" i="6"/>
  <c r="F64" i="6"/>
  <c r="J64" i="6"/>
  <c r="H5" i="11"/>
  <c r="G52" i="5"/>
  <c r="D8" i="4" s="1"/>
  <c r="E59" i="6"/>
  <c r="E64" i="6" s="1"/>
  <c r="D59" i="7"/>
  <c r="M64" i="6"/>
  <c r="D23" i="4" l="1"/>
  <c r="C12" i="11"/>
  <c r="V5" i="11"/>
  <c r="V12" i="11"/>
  <c r="C3" i="11"/>
  <c r="V3" i="11" s="1"/>
  <c r="T6" i="13"/>
  <c r="W5" i="13"/>
  <c r="V5" i="13"/>
  <c r="Z6" i="13"/>
  <c r="U5" i="13"/>
  <c r="U6" i="13"/>
  <c r="X5" i="13"/>
  <c r="W6" i="13"/>
  <c r="V6" i="13"/>
  <c r="Z5" i="13"/>
  <c r="X6" i="13"/>
  <c r="Y6" i="13"/>
  <c r="Y5" i="13"/>
  <c r="T5" i="13"/>
  <c r="C107" i="2"/>
  <c r="D64" i="6"/>
  <c r="N28" i="7" l="1"/>
  <c r="N30" i="7" s="1"/>
  <c r="Q43" i="7"/>
  <c r="Q45" i="7" s="1"/>
  <c r="J28" i="6"/>
  <c r="J30" i="6" s="1"/>
  <c r="C28" i="6"/>
  <c r="C30" i="6" s="1"/>
  <c r="P13" i="7"/>
  <c r="O58" i="7"/>
  <c r="O60" i="7" s="1"/>
  <c r="O28" i="6"/>
  <c r="O30" i="6" s="1"/>
  <c r="H28" i="6"/>
  <c r="H30" i="6" s="1"/>
  <c r="L43" i="6"/>
  <c r="L45" i="6" s="1"/>
  <c r="F28" i="7"/>
  <c r="F30" i="7" s="1"/>
  <c r="M28" i="7"/>
  <c r="M30" i="7" s="1"/>
  <c r="G28" i="7"/>
  <c r="G30" i="7" s="1"/>
  <c r="O28" i="7"/>
  <c r="O30" i="7" s="1"/>
  <c r="P28" i="7"/>
  <c r="P30" i="7" s="1"/>
  <c r="J28" i="7"/>
  <c r="J30" i="7" s="1"/>
  <c r="Q58" i="6"/>
  <c r="Q60" i="6" s="1"/>
  <c r="E28" i="6"/>
  <c r="E30" i="6" s="1"/>
  <c r="K28" i="6"/>
  <c r="K30" i="6" s="1"/>
  <c r="Q28" i="7"/>
  <c r="Q30" i="7" s="1"/>
  <c r="Q13" i="7"/>
  <c r="N43" i="7"/>
  <c r="N45" i="7" s="1"/>
  <c r="I43" i="7"/>
  <c r="I45" i="7" s="1"/>
  <c r="P28" i="6"/>
  <c r="P30" i="6" s="1"/>
  <c r="P58" i="7"/>
  <c r="P60" i="7" s="1"/>
  <c r="O43" i="7"/>
  <c r="O45" i="7" s="1"/>
  <c r="I28" i="6"/>
  <c r="I30" i="6" s="1"/>
  <c r="E28" i="7"/>
  <c r="E30" i="7" s="1"/>
  <c r="N58" i="7"/>
  <c r="N60" i="7" s="1"/>
  <c r="G28" i="6"/>
  <c r="G30" i="6" s="1"/>
  <c r="D43" i="6"/>
  <c r="D45" i="6" s="1"/>
  <c r="P43" i="6"/>
  <c r="P45" i="6" s="1"/>
  <c r="L28" i="7"/>
  <c r="L30" i="7" s="1"/>
  <c r="P43" i="7"/>
  <c r="P45" i="7" s="1"/>
  <c r="M28" i="6"/>
  <c r="M30" i="6" s="1"/>
  <c r="Q58" i="7"/>
  <c r="Q60" i="7" s="1"/>
  <c r="D28" i="7"/>
  <c r="D30" i="7" s="1"/>
  <c r="D28" i="6"/>
  <c r="D30" i="6" s="1"/>
  <c r="P13" i="6"/>
  <c r="H28" i="7"/>
  <c r="H30" i="7" s="1"/>
  <c r="Q28" i="6"/>
  <c r="Q30" i="6" s="1"/>
  <c r="N13" i="6"/>
  <c r="L28" i="6"/>
  <c r="L30" i="6" s="1"/>
  <c r="N58" i="6"/>
  <c r="N60" i="6" s="1"/>
  <c r="P58" i="6"/>
  <c r="P60" i="6" s="1"/>
  <c r="N43" i="6"/>
  <c r="N45" i="6" s="1"/>
  <c r="O13" i="7"/>
  <c r="O43" i="6"/>
  <c r="O45" i="6" s="1"/>
  <c r="I28" i="7"/>
  <c r="I30" i="7" s="1"/>
  <c r="N13" i="7"/>
  <c r="C28" i="7"/>
  <c r="C30" i="7" s="1"/>
  <c r="M58" i="7"/>
  <c r="M60" i="7" s="1"/>
  <c r="N28" i="6"/>
  <c r="N30" i="6" s="1"/>
  <c r="O58" i="6"/>
  <c r="O60" i="6" s="1"/>
  <c r="H43" i="7"/>
  <c r="H45" i="7" s="1"/>
  <c r="M58" i="6"/>
  <c r="M60" i="6" s="1"/>
  <c r="F43" i="7"/>
  <c r="F45" i="7" s="1"/>
  <c r="G43" i="7"/>
  <c r="G45" i="7" s="1"/>
  <c r="Q43" i="6"/>
  <c r="Q45" i="6" s="1"/>
  <c r="O13" i="6"/>
  <c r="L43" i="7"/>
  <c r="L45" i="7" s="1"/>
  <c r="K28" i="7"/>
  <c r="K30" i="7" s="1"/>
  <c r="F28" i="6"/>
  <c r="F30" i="6" s="1"/>
  <c r="J58" i="7"/>
  <c r="J60" i="7" s="1"/>
  <c r="I58" i="7"/>
  <c r="I60" i="7" s="1"/>
  <c r="E13" i="6"/>
  <c r="F58" i="7"/>
  <c r="F60" i="7" s="1"/>
  <c r="E43" i="7"/>
  <c r="E45" i="7" s="1"/>
  <c r="I43" i="6"/>
  <c r="I45" i="6" s="1"/>
  <c r="C58" i="6"/>
  <c r="C60" i="6" s="1"/>
  <c r="F43" i="6"/>
  <c r="F45" i="6" s="1"/>
  <c r="C43" i="7"/>
  <c r="C45" i="7" s="1"/>
  <c r="G58" i="7"/>
  <c r="G60" i="7" s="1"/>
  <c r="I13" i="6"/>
  <c r="J13" i="7"/>
  <c r="K13" i="7"/>
  <c r="F13" i="6"/>
  <c r="M43" i="7"/>
  <c r="M45" i="7" s="1"/>
  <c r="H43" i="6"/>
  <c r="H45" i="6" s="1"/>
  <c r="L58" i="6"/>
  <c r="L60" i="6" s="1"/>
  <c r="M13" i="6"/>
  <c r="H58" i="7"/>
  <c r="H60" i="7" s="1"/>
  <c r="F13" i="7"/>
  <c r="D43" i="7"/>
  <c r="D45" i="7" s="1"/>
  <c r="Q13" i="6"/>
  <c r="K43" i="6"/>
  <c r="K45" i="6" s="1"/>
  <c r="G13" i="7"/>
  <c r="C13" i="6"/>
  <c r="G43" i="6"/>
  <c r="G45" i="6" s="1"/>
  <c r="M43" i="6"/>
  <c r="M45" i="6" s="1"/>
  <c r="L13" i="6"/>
  <c r="J43" i="6"/>
  <c r="J45" i="6" s="1"/>
  <c r="M13" i="7"/>
  <c r="C13" i="7"/>
  <c r="E58" i="7"/>
  <c r="E60" i="7" s="1"/>
  <c r="H13" i="7"/>
  <c r="E43" i="6"/>
  <c r="E45" i="6" s="1"/>
  <c r="C43" i="6"/>
  <c r="C45" i="6" s="1"/>
  <c r="E13" i="7"/>
  <c r="K58" i="6"/>
  <c r="K60" i="6" s="1"/>
  <c r="J58" i="6"/>
  <c r="J60" i="6" s="1"/>
  <c r="I58" i="6"/>
  <c r="I60" i="6" s="1"/>
  <c r="I13" i="7"/>
  <c r="K43" i="7"/>
  <c r="K45" i="7" s="1"/>
  <c r="J13" i="6"/>
  <c r="J43" i="7"/>
  <c r="J45" i="7" s="1"/>
  <c r="D13" i="7"/>
  <c r="L13" i="7"/>
  <c r="L58" i="7"/>
  <c r="L60" i="7" s="1"/>
  <c r="H58" i="6"/>
  <c r="H60" i="6" s="1"/>
  <c r="E58" i="6"/>
  <c r="E60" i="6" s="1"/>
  <c r="F58" i="6"/>
  <c r="F60" i="6" s="1"/>
  <c r="D58" i="7"/>
  <c r="D60" i="7" s="1"/>
  <c r="K13" i="6"/>
  <c r="D13" i="6"/>
  <c r="C58" i="7"/>
  <c r="C60" i="7" s="1"/>
  <c r="H13" i="6"/>
  <c r="D58" i="6"/>
  <c r="D60" i="6" s="1"/>
  <c r="G13" i="6"/>
  <c r="G58" i="6"/>
  <c r="G60" i="6" s="1"/>
  <c r="K58" i="7"/>
  <c r="K60" i="7" s="1"/>
  <c r="H63" i="7" l="1"/>
  <c r="H65" i="7" s="1"/>
  <c r="H15" i="7"/>
  <c r="Q15" i="6"/>
  <c r="Q63" i="6"/>
  <c r="Q65" i="6" s="1"/>
  <c r="G15" i="6"/>
  <c r="G63" i="6"/>
  <c r="G65" i="6" s="1"/>
  <c r="J63" i="6"/>
  <c r="J65" i="6" s="1"/>
  <c r="J15" i="6"/>
  <c r="M63" i="6"/>
  <c r="M65" i="6" s="1"/>
  <c r="M15" i="6"/>
  <c r="I63" i="7"/>
  <c r="I65" i="7" s="1"/>
  <c r="I15" i="7"/>
  <c r="G63" i="7"/>
  <c r="G65" i="7" s="1"/>
  <c r="G15" i="7"/>
  <c r="O15" i="7"/>
  <c r="O63" i="7"/>
  <c r="O65" i="7" s="1"/>
  <c r="P63" i="6"/>
  <c r="P65" i="6" s="1"/>
  <c r="P15" i="6"/>
  <c r="D63" i="6"/>
  <c r="D65" i="6" s="1"/>
  <c r="D15" i="6"/>
  <c r="M15" i="7"/>
  <c r="M63" i="7"/>
  <c r="M65" i="7" s="1"/>
  <c r="F15" i="6"/>
  <c r="F63" i="6"/>
  <c r="F65" i="6" s="1"/>
  <c r="Q63" i="7"/>
  <c r="Q65" i="7" s="1"/>
  <c r="Q15" i="7"/>
  <c r="O63" i="6"/>
  <c r="O65" i="6" s="1"/>
  <c r="O15" i="6"/>
  <c r="H15" i="6"/>
  <c r="H63" i="6"/>
  <c r="H65" i="6" s="1"/>
  <c r="K63" i="6"/>
  <c r="K65" i="6" s="1"/>
  <c r="K15" i="6"/>
  <c r="L63" i="7"/>
  <c r="L65" i="7" s="1"/>
  <c r="L15" i="7"/>
  <c r="K63" i="7"/>
  <c r="K65" i="7" s="1"/>
  <c r="K15" i="7"/>
  <c r="D15" i="7"/>
  <c r="D63" i="7"/>
  <c r="D65" i="7" s="1"/>
  <c r="E15" i="7"/>
  <c r="E63" i="7"/>
  <c r="E65" i="7" s="1"/>
  <c r="L63" i="6"/>
  <c r="L65" i="6" s="1"/>
  <c r="L15" i="6"/>
  <c r="F63" i="7"/>
  <c r="F65" i="7" s="1"/>
  <c r="F15" i="7"/>
  <c r="J63" i="7"/>
  <c r="J65" i="7" s="1"/>
  <c r="J15" i="7"/>
  <c r="C63" i="6"/>
  <c r="C65" i="6" s="1"/>
  <c r="C15" i="6"/>
  <c r="C15" i="7"/>
  <c r="C63" i="7"/>
  <c r="C65" i="7" s="1"/>
  <c r="P63" i="7"/>
  <c r="P65" i="7" s="1"/>
  <c r="P15" i="7"/>
  <c r="I15" i="6"/>
  <c r="I63" i="6"/>
  <c r="I65" i="6" s="1"/>
  <c r="E63" i="6"/>
  <c r="E65" i="6" s="1"/>
  <c r="E15" i="6"/>
  <c r="N15" i="7"/>
  <c r="N63" i="7"/>
  <c r="N65" i="7" s="1"/>
  <c r="N63" i="6"/>
  <c r="N65" i="6" s="1"/>
  <c r="N15" i="6"/>
  <c r="F14" i="4" l="1"/>
  <c r="E14" i="1" s="1"/>
  <c r="D14" i="1" s="1"/>
  <c r="F11" i="4"/>
  <c r="E11" i="1" s="1"/>
  <c r="D11" i="1" s="1"/>
  <c r="E12" i="4"/>
  <c r="E11" i="4"/>
  <c r="E10" i="4"/>
  <c r="E7" i="4"/>
  <c r="E17" i="4"/>
  <c r="F18" i="4"/>
  <c r="E18" i="1" s="1"/>
  <c r="D18" i="1" s="1"/>
  <c r="E8" i="4"/>
  <c r="E14" i="4"/>
  <c r="F20" i="4"/>
  <c r="E20" i="1" s="1"/>
  <c r="D20" i="1" s="1"/>
  <c r="E13" i="4"/>
  <c r="E6" i="4"/>
  <c r="F6" i="4"/>
  <c r="E6" i="1" s="1"/>
  <c r="D6" i="1" s="1"/>
  <c r="E5" i="4" l="1"/>
  <c r="F4" i="4"/>
  <c r="E19" i="4"/>
  <c r="F19" i="4"/>
  <c r="E19" i="1" s="1"/>
  <c r="D19" i="1" s="1"/>
  <c r="E20" i="4"/>
  <c r="F7" i="4"/>
  <c r="E7" i="1" s="1"/>
  <c r="D7" i="1" s="1"/>
  <c r="E4" i="4"/>
  <c r="E9" i="4" s="1"/>
  <c r="F12" i="4"/>
  <c r="E12" i="1" s="1"/>
  <c r="D12" i="1" s="1"/>
  <c r="F17" i="4"/>
  <c r="E17" i="1" s="1"/>
  <c r="D17" i="1" s="1"/>
  <c r="F13" i="4"/>
  <c r="E13" i="1" s="1"/>
  <c r="D13" i="1" s="1"/>
  <c r="E15" i="4"/>
  <c r="E16" i="4"/>
  <c r="F16" i="4"/>
  <c r="E18" i="4"/>
  <c r="F5" i="4"/>
  <c r="E5" i="1" s="1"/>
  <c r="D5" i="1" s="1"/>
  <c r="F10" i="4" l="1"/>
  <c r="F8" i="4"/>
  <c r="E8" i="1" s="1"/>
  <c r="D8" i="1" s="1"/>
  <c r="E21" i="4"/>
  <c r="E23" i="4" s="1"/>
  <c r="E16" i="1"/>
  <c r="F21" i="4"/>
  <c r="F9" i="4"/>
  <c r="E4" i="1"/>
  <c r="E9" i="1" l="1"/>
  <c r="D4" i="1"/>
  <c r="D9" i="1" s="1"/>
  <c r="F15" i="4"/>
  <c r="E10" i="1"/>
  <c r="F23" i="4"/>
  <c r="E21" i="1"/>
  <c r="D16" i="1"/>
  <c r="D21" i="1" s="1"/>
  <c r="D10" i="1" l="1"/>
  <c r="D15" i="1" s="1"/>
  <c r="D23" i="1" s="1"/>
  <c r="D25" i="1" s="1"/>
  <c r="E15" i="1"/>
  <c r="E23" i="1"/>
</calcChain>
</file>

<file path=xl/sharedStrings.xml><?xml version="1.0" encoding="utf-8"?>
<sst xmlns="http://schemas.openxmlformats.org/spreadsheetml/2006/main" count="767" uniqueCount="238">
  <si>
    <t>Сокращение выбросов ПГ</t>
  </si>
  <si>
    <t>Выбросы ПГ по базовой линии</t>
  </si>
  <si>
    <t>Выбросы ПГ по проектному сценарию</t>
  </si>
  <si>
    <t>Период</t>
  </si>
  <si>
    <t>тСО2 экв</t>
  </si>
  <si>
    <t>итого 5 лет</t>
  </si>
  <si>
    <t>Всего клим проект</t>
  </si>
  <si>
    <t>Среднее за год, тСО2 экв</t>
  </si>
  <si>
    <t>Котельная №1</t>
  </si>
  <si>
    <t>Источник</t>
  </si>
  <si>
    <t>Ед.изм</t>
  </si>
  <si>
    <t>Выработка тепловой энергии в проектном сценарии</t>
  </si>
  <si>
    <t>Гкал</t>
  </si>
  <si>
    <t>ГДж</t>
  </si>
  <si>
    <t>Базовый сценарий</t>
  </si>
  <si>
    <t>КПД котельной установки, которая была бы использована для сжигания ископаемого топлива при отсутствии проектной деятельности</t>
  </si>
  <si>
    <t>%</t>
  </si>
  <si>
    <t>Потребление каменного угля</t>
  </si>
  <si>
    <t>Проектный сценарий</t>
  </si>
  <si>
    <t>Потребление природного газа</t>
  </si>
  <si>
    <t>тыс.м3</t>
  </si>
  <si>
    <t>Коэфф. выбросов от сжигания природного газа</t>
  </si>
  <si>
    <t>тСО2/тыс. м3</t>
  </si>
  <si>
    <t>Приказ МПР №371 от 27.05.2022</t>
  </si>
  <si>
    <t xml:space="preserve">Потребление электрической энергии, полученной от внешних генерирующих объектов для вспомогательной работы котельных установок </t>
  </si>
  <si>
    <t>МВтч</t>
  </si>
  <si>
    <t>Коэффициент выбросов от производства электроэнергии</t>
  </si>
  <si>
    <t>тСО2/МВтч</t>
  </si>
  <si>
    <t>Данные за 2025 год https://www.atsenergo.ru/</t>
  </si>
  <si>
    <t>Выбросы ПГ по ПС</t>
  </si>
  <si>
    <t>Утечки</t>
  </si>
  <si>
    <t>Коэффициент эмиссии от добычи, транспортировки и хранения природного газа</t>
  </si>
  <si>
    <t>тСО2/ТДж</t>
  </si>
  <si>
    <t>ГОСТ Р 71115-2023</t>
  </si>
  <si>
    <t>Коэффициент эмиссии от добычи, транспортировки и хранения каменного угля</t>
  </si>
  <si>
    <t>Утечки от добычи, транспортировки и хранения природного газа по проекту</t>
  </si>
  <si>
    <t>Утечки от добычи, транспортировки и хранения угля по базовой линии</t>
  </si>
  <si>
    <t>Сокращение выбросов</t>
  </si>
  <si>
    <t>Котельная №2</t>
  </si>
  <si>
    <t>Выработки тепловой энергии в проектном сценарии</t>
  </si>
  <si>
    <t>Коэфф. Выбросов от сжигания каменного угля</t>
  </si>
  <si>
    <t>тСО2/ГДж</t>
  </si>
  <si>
    <t>Котельная №3</t>
  </si>
  <si>
    <t>Потребление мазута топочного</t>
  </si>
  <si>
    <t>Коэффициент эмиссии от добычи, транспортировки и хранения мазута</t>
  </si>
  <si>
    <t>Утечки от добычи, транспортировки и хранения мазута по базовой линии</t>
  </si>
  <si>
    <t>Котельная №4</t>
  </si>
  <si>
    <t>тыс. м3</t>
  </si>
  <si>
    <t>Итого выбросы ПГ по ПС</t>
  </si>
  <si>
    <t>Итого утечки</t>
  </si>
  <si>
    <t>Фактические значения</t>
  </si>
  <si>
    <t>Плановые значения</t>
  </si>
  <si>
    <t>Котельная № 1</t>
  </si>
  <si>
    <t>Котельная № 2</t>
  </si>
  <si>
    <t>Котельная № 3</t>
  </si>
  <si>
    <t>Котельная № 4</t>
  </si>
  <si>
    <t>Производство тепловой энергии</t>
  </si>
  <si>
    <t>Расход условного топлива</t>
  </si>
  <si>
    <t>тут</t>
  </si>
  <si>
    <t>Расход угля</t>
  </si>
  <si>
    <t>тнт</t>
  </si>
  <si>
    <t>Расход мазута</t>
  </si>
  <si>
    <t>Расход природного газа</t>
  </si>
  <si>
    <t>Мощность котельной</t>
  </si>
  <si>
    <t>МВт</t>
  </si>
  <si>
    <t>КПД котельной</t>
  </si>
  <si>
    <t>Потребление электроэнергии на производство тепла</t>
  </si>
  <si>
    <t>кВтч</t>
  </si>
  <si>
    <t>NCV Природного газа</t>
  </si>
  <si>
    <t>ккал/м3</t>
  </si>
  <si>
    <t>NCV Угля</t>
  </si>
  <si>
    <t>ккал/кг</t>
  </si>
  <si>
    <t>NCV Мазута</t>
  </si>
  <si>
    <t>Удельный расход природного газа</t>
  </si>
  <si>
    <t>тыс.м3/Гкал</t>
  </si>
  <si>
    <t>тут/Гкал</t>
  </si>
  <si>
    <t>Удельный расход природного Угля</t>
  </si>
  <si>
    <t>тн/Гкал</t>
  </si>
  <si>
    <t>Удельный расход природного Мазут</t>
  </si>
  <si>
    <t>Выбросы ПГ по базовой линии BAU</t>
  </si>
  <si>
    <t>Выбросы ПГ по базовой линии BAU cons</t>
  </si>
  <si>
    <t>Выбросы ПГ по базовой линии ниже BAU adj</t>
  </si>
  <si>
    <t xml:space="preserve">Итого выбросы </t>
  </si>
  <si>
    <t>Выбросы по БС</t>
  </si>
  <si>
    <t>Коэфф. выбросов от сжигания мазута</t>
  </si>
  <si>
    <t>тСО/ГДж</t>
  </si>
  <si>
    <t xml:space="preserve">Итого выбросы ПГ по БС </t>
  </si>
  <si>
    <t>Выбросы по БС консервативный подход А1</t>
  </si>
  <si>
    <t>Приложение А ГОСТ Р 72555-2026</t>
  </si>
  <si>
    <t>Выбросы по БС консервативный подход А2</t>
  </si>
  <si>
    <t>Приложение А ГОСТ Р 72555-2027</t>
  </si>
  <si>
    <t>Итоговая консервативная количественная оценка выбросов по БС</t>
  </si>
  <si>
    <t>Приложение А ГОСТ Р 72555-2028</t>
  </si>
  <si>
    <t>Итого выбросы ПГ по БС</t>
  </si>
  <si>
    <t>Итого выбросы по БС консервативный подход А1</t>
  </si>
  <si>
    <t>Итого выбросы по БС консервативный подход А2</t>
  </si>
  <si>
    <t>Итоговая  количественная оценка выбросов  BAU cons</t>
  </si>
  <si>
    <t>Выбросы по БС консервативный подход Б1</t>
  </si>
  <si>
    <t>Приложение Б ГОСТ Р 72555-2026</t>
  </si>
  <si>
    <t>Выбросы по БС консервативный подход Б2</t>
  </si>
  <si>
    <t>Приложение Б ГОСТ Р 72555-2027</t>
  </si>
  <si>
    <t>Приложение Б ГОСТ Р 72555-2028</t>
  </si>
  <si>
    <t>Итого выбросы по БС консервативный подход Б1</t>
  </si>
  <si>
    <t>Итого выбросы по БС консервативный подход Б2</t>
  </si>
  <si>
    <t>Итоговая  количественная оценка выбросов BAU adjustment</t>
  </si>
  <si>
    <t>Наименование объекта, адрес места расположения</t>
  </si>
  <si>
    <t>Обрудование котельной</t>
  </si>
  <si>
    <t>Мощность, МВт</t>
  </si>
  <si>
    <t>КПД котельной установки согласно РНИ, %</t>
  </si>
  <si>
    <t xml:space="preserve">Зав № </t>
  </si>
  <si>
    <t>I</t>
  </si>
  <si>
    <t>II</t>
  </si>
  <si>
    <t>III</t>
  </si>
  <si>
    <t>БМК № 1, п. Верхний Ландех, ул. Новая, д. 1а</t>
  </si>
  <si>
    <t>Котел КВр -0,63</t>
  </si>
  <si>
    <t xml:space="preserve">Котел КВр -1,16-95 Р </t>
  </si>
  <si>
    <t>427-21</t>
  </si>
  <si>
    <t>Котел КВТ-Л-1,0</t>
  </si>
  <si>
    <t>БМК № 2, п. Верхний Ландех, ул. Октябрьская, 37а</t>
  </si>
  <si>
    <t>Котел КВТ-Л-0,63</t>
  </si>
  <si>
    <t>БМК № 3, п. Верхний Ландех, ул. Строителей, д. 17б</t>
  </si>
  <si>
    <t>Котел Е 1,0-0,9М-3(Э)</t>
  </si>
  <si>
    <t>БМК № 4, п. Верхний Ландех, пер. Школьный, д. 2</t>
  </si>
  <si>
    <t>Котел КВр -0,4</t>
  </si>
  <si>
    <t>КПД котлов</t>
  </si>
  <si>
    <t>База</t>
  </si>
  <si>
    <t>Дата ввода в экспл</t>
  </si>
  <si>
    <t>год вывода из эксплуатации</t>
  </si>
  <si>
    <t>КПД котельной установки, %</t>
  </si>
  <si>
    <t>КПД котельных/Год</t>
  </si>
  <si>
    <t>КПД для угольных котельных</t>
  </si>
  <si>
    <t>Максимальное КПД для блочно-модульных (транспортабельных) котельных ( Виток-Ж)</t>
  </si>
  <si>
    <t>https://meganorm.ru/Data2/1/4293853/4293853094.pdf</t>
  </si>
  <si>
    <t>КПД для мазутных котельных</t>
  </si>
  <si>
    <t>Максимальное КПД для блочно-модульных (транспортабельных) котельных ( КВТ-I 1,25 МВт)</t>
  </si>
  <si>
    <t>Количество, шт.</t>
  </si>
  <si>
    <t>Зав № 1</t>
  </si>
  <si>
    <t>Зав № 2</t>
  </si>
  <si>
    <t>Паспортный КПД, %</t>
  </si>
  <si>
    <t>котел стальной водогрейный Teplfor Lex V2-D 1300</t>
  </si>
  <si>
    <t>LXS-0052-71911</t>
  </si>
  <si>
    <t>LXS-0052-71910</t>
  </si>
  <si>
    <t>котел стальной водогрейный сдвоенный Teplfor Duplex VV2-D 400</t>
  </si>
  <si>
    <t>DXS-0063-71925</t>
  </si>
  <si>
    <t>котел стальной водогрейный Teplfor Lex V2-D 1000</t>
  </si>
  <si>
    <t>LXS-0049-71934</t>
  </si>
  <si>
    <t>LXS-0049-71935</t>
  </si>
  <si>
    <t>DXS-0063-71929</t>
  </si>
  <si>
    <t xml:space="preserve"> </t>
  </si>
  <si>
    <t>Максимальное КПД в соответствии с таблицей 1  Methodological tool
“Tool to determine the baseline efficiency of thermal or electric energy generation systems” EB 48, Annex 12</t>
  </si>
  <si>
    <t>https://cdm.unfccc.int/methodologies/PAmethodologies/tools/am-tool-09-v1.pdf</t>
  </si>
  <si>
    <t>№</t>
  </si>
  <si>
    <t xml:space="preserve">Категория выбросов ПГ </t>
  </si>
  <si>
    <t>Выбросы ПГ, т СО2-экв.</t>
  </si>
  <si>
    <t xml:space="preserve">Неопределенность исходных данных, Un исх. </t>
  </si>
  <si>
    <t xml:space="preserve">Неопределенность коэффициентов выбросов ПГ, Un кэ. </t>
  </si>
  <si>
    <t xml:space="preserve">Неопределенность значения выбросов ПГ от источника, Un  </t>
  </si>
  <si>
    <t>Неопределенность значения выбросов ПГ от источника, Un общ.</t>
  </si>
  <si>
    <t>Национальный доклад о кадастре антропогенных выбросов из источников и абсорбции поглотителями парниковых газов, не регулируемых Монреальским протоколом за 1990–2024 гг. Часть 2. Литература и источники данных. Приложения.</t>
  </si>
  <si>
    <t>Прямые выбросы ПГ</t>
  </si>
  <si>
    <t>Стационарное сжигание по базовой линии</t>
  </si>
  <si>
    <t>CO2 от сжигания твердого топлива</t>
  </si>
  <si>
    <t xml:space="preserve">Табл. II.I., категория 1.А.1 </t>
  </si>
  <si>
    <t>CO2 от сжигания жидкого топлива</t>
  </si>
  <si>
    <t>Стационарное сжигание по проектному сценарию</t>
  </si>
  <si>
    <t>CO2 от сжигания газообразного топлива</t>
  </si>
  <si>
    <t>Косвенный выбросы ПГ</t>
  </si>
  <si>
    <t>Потребление электрической энергии от внешних объектов генерации по проектному сценарию</t>
  </si>
  <si>
    <t>CO2</t>
  </si>
  <si>
    <t>Согласно Национальному докладу о кадастре антропогенных выбросов из источников и абсорбции поглотителями парниковых газов не регулируемых Монреальским протоколом за 1990 – 2024 гг. в 2 томах. – М.: 2026, Прил. 2, Табл. П.2.1., категория (1.А.1), неопределенность  производственной деятельности и коэффициента эмиссии всех видов топлива, в результате которых электроэнергия попадает в сеть (за исключением биомассы) равна - 5% и 7% соответственно.</t>
  </si>
  <si>
    <t>ИТОГО Прямые и косвенные энергетические выбросы ПГ</t>
  </si>
  <si>
    <t>https://unfccc.int/sites/default/files/resource/RUS_NID_2026_vol2.pdf</t>
  </si>
  <si>
    <t>пп</t>
  </si>
  <si>
    <t>Наименование автомобиля</t>
  </si>
  <si>
    <t>Пункт погрузки</t>
  </si>
  <si>
    <t>Пункт выгрузки</t>
  </si>
  <si>
    <t>Расстояние</t>
  </si>
  <si>
    <t>Максимальная масса перевозимого груза, тн</t>
  </si>
  <si>
    <t>Масса груза за период, тн</t>
  </si>
  <si>
    <t>Количество рейсов, шт</t>
  </si>
  <si>
    <t>Общий пробег за период, км</t>
  </si>
  <si>
    <t>Тип перевозимого топлива котельных</t>
  </si>
  <si>
    <t>Класс экологичности</t>
  </si>
  <si>
    <t>Удельный выброс, г/км 3</t>
  </si>
  <si>
    <t>Выбросы загрязняющих веществ от автотранспорта, г</t>
  </si>
  <si>
    <t>Оксид углерода, CO</t>
  </si>
  <si>
    <t>Оксиды азота (в пересчете на NO₂), NOx</t>
  </si>
  <si>
    <t>Твердые частицы (сажа), C</t>
  </si>
  <si>
    <t>Диоксид серы, SO₂</t>
  </si>
  <si>
    <t>Метан, CH₄</t>
  </si>
  <si>
    <t>Неметановые летучие органические соединения, ЛОСНМ</t>
  </si>
  <si>
    <t>Аммиак, NH₃</t>
  </si>
  <si>
    <t xml:space="preserve">SITRAK </t>
  </si>
  <si>
    <t xml:space="preserve">г. Иваново, пр. Строителей, д. 17а. </t>
  </si>
  <si>
    <t>п. Верхний Ландех, Ивановская область</t>
  </si>
  <si>
    <t>Уголь</t>
  </si>
  <si>
    <t>2027 г</t>
  </si>
  <si>
    <t>Евро 51</t>
  </si>
  <si>
    <t>Freightliner</t>
  </si>
  <si>
    <t>г. Нижний Новгород</t>
  </si>
  <si>
    <t>Мазут</t>
  </si>
  <si>
    <t>Евро 32</t>
  </si>
  <si>
    <t>1. https://sitrak-rus.com/catalogue/truck-tractor/sitrak-c7h-4x2-mt</t>
  </si>
  <si>
    <t>2. https://freightlinercentury.narod.ru</t>
  </si>
  <si>
    <t>3. Таблица 19, Распоряжения от 1 ноября 2013 года N 6-р "Об утверждении Порядка организации работ по оценке выбросов от отдельных видов передвижных источников" (с изменениями на 13 декабря 2019 года)</t>
  </si>
  <si>
    <t>Индексы потребительских цен на услуги по Российской Федерации в 1991-2026*)гг.</t>
  </si>
  <si>
    <t>https://rosstat.gov.ru/statistics/price</t>
  </si>
  <si>
    <t>на конец периода, в %</t>
  </si>
  <si>
    <t>к концу предыдущего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</si>
  <si>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</si>
  <si>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</si>
  <si>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</si>
  <si>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</si>
  <si>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</si>
  <si>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</si>
  <si>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</si>
  <si>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</si>
  <si>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</si>
  <si>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</si>
  <si>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</si>
  <si>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</si>
  <si>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декабрю предыдущего года</t>
  </si>
  <si>
    <t xml:space="preserve">1)июнь 2026 г. в % к декабрю 2025 г.
 Обращаем Ваше внимание, что в январе 1998 г. была проведена деноминация, в результате которой произошло уменьшение масштаба цен в 1000 раз.  </t>
  </si>
  <si>
    <t>*)Без учета статистической информации по Донецкой Народной Республике, Луганской Народной Республике, Запорожской и Херсонской областям.</t>
  </si>
  <si>
    <t>Накопительный индекс</t>
  </si>
  <si>
    <t>Расчет планового показателя на 2027 г.</t>
  </si>
  <si>
    <t>Наименование объекта</t>
  </si>
  <si>
    <t>Потребление топлива, тут</t>
  </si>
  <si>
    <t>Производство тепла, Гкал</t>
  </si>
  <si>
    <t>Тариф за 2025 г, руб</t>
  </si>
  <si>
    <t>Тариф за 2026 г, руб</t>
  </si>
  <si>
    <t>Пересчет на тариф 2016 г, руб</t>
  </si>
  <si>
    <t>Стоимость услуг, руб</t>
  </si>
  <si>
    <t>Пересчет в кг условного топлива на 10 тысяч рублей</t>
  </si>
  <si>
    <t>БМК № 1</t>
  </si>
  <si>
    <t>БМК № 2</t>
  </si>
  <si>
    <t>БМК № 3</t>
  </si>
  <si>
    <t>БМК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</si>
</sst>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_-;\-* #,##0_-;_-* \-??_-;_-@_-"/>
    <numFmt numFmtId="165" formatCode="_-* #,##0.00_-;\-* #,##0.00_-;_-* \-??_-;_-@_-"/>
    <numFmt numFmtId="166" formatCode="_-* #,##0.00\ _₽_-;\-* #,##0.00\ _₽_-;_-* \-??\ _₽_-;_-@_-"/>
    <numFmt numFmtId="167" formatCode="_-* #,##0.0000_-;\-* #,##0.0000_-;_-* \-??_-;_-@_-"/>
    <numFmt numFmtId="168" formatCode="0.000"/>
    <numFmt numFmtId="169" formatCode="_-* #,##0.00000\ _₽_-;\-* #,##0.00000\ _₽_-;_-* \-??\ _₽_-;_-@_-"/>
    <numFmt numFmtId="170" formatCode="d\-mmm"/>
    <numFmt numFmtId="171" formatCode="_(* #,##0_);_(* \(#,##0\);_(* \-_);_(@_)"/>
    <numFmt numFmtId="172" formatCode="0.0%"/>
    <numFmt numFmtId="173" formatCode="_-* #,##0\ _₽_-;\-* #,##0\ _₽_-;_-* \-??\ _₽_-;_-@_-"/>
    <numFmt numFmtId="174" formatCode="_-* #,##0\ _₽_-;\-* #,##0\ _₽_-;_-* \-?????????\ _₽_-;_-@_-"/>
  </numFmts>
  <fonts count="25" x14ac:knownFonts="1">
    <font>
      <sz val="12"/>
      <color theme="1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2"/>
      <color rgb="FFFF0000"/>
      <name val="Calibri"/>
      <family val="2"/>
      <charset val="204"/>
    </font>
    <font>
      <b/>
      <sz val="12"/>
      <color theme="1"/>
      <name val="Calibri"/>
      <family val="2"/>
      <charset val="1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1"/>
    </font>
    <font>
      <b/>
      <i/>
      <sz val="11"/>
      <name val="Cambria"/>
      <family val="1"/>
    </font>
    <font>
      <b/>
      <sz val="12"/>
      <color theme="1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2"/>
      <color rgb="FF000000"/>
      <name val="Times New Roman"/>
      <family val="1"/>
      <charset val="1"/>
    </font>
    <font>
      <b/>
      <sz val="16"/>
      <color rgb="FF444444"/>
      <name val="Arial"/>
      <family val="2"/>
      <charset val="1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u/>
      <sz val="12"/>
      <color theme="10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9" tint="0.59987182226020086"/>
        <bgColor rgb="FFC1F0C8"/>
      </patternFill>
    </fill>
    <fill>
      <patternFill patternType="solid">
        <fgColor theme="9" tint="0.79989013336588644"/>
        <bgColor rgb="FFDAF2D0"/>
      </patternFill>
    </fill>
    <fill>
      <patternFill patternType="solid">
        <fgColor theme="4" tint="0.59987182226020086"/>
        <bgColor rgb="FFD0D0D0"/>
      </patternFill>
    </fill>
    <fill>
      <patternFill patternType="solid">
        <fgColor theme="7" tint="0.79989013336588644"/>
        <bgColor rgb="FFE2F0D9"/>
      </patternFill>
    </fill>
    <fill>
      <patternFill patternType="solid">
        <fgColor theme="7" tint="0.39988402966399123"/>
        <bgColor rgb="FFF8CBAD"/>
      </patternFill>
    </fill>
    <fill>
      <patternFill patternType="solid">
        <fgColor theme="9"/>
        <bgColor rgb="FF339966"/>
      </patternFill>
    </fill>
    <fill>
      <patternFill patternType="solid">
        <fgColor theme="7"/>
        <bgColor rgb="FFFF9900"/>
      </patternFill>
    </fill>
    <fill>
      <patternFill patternType="solid">
        <fgColor rgb="FF808080"/>
        <bgColor rgb="FF666699"/>
      </patternFill>
    </fill>
    <fill>
      <patternFill patternType="solid">
        <fgColor theme="9" tint="0.39988402966399123"/>
        <bgColor rgb="FFC5E0B4"/>
      </patternFill>
    </fill>
    <fill>
      <patternFill patternType="solid">
        <fgColor rgb="FFC0E6F5"/>
        <bgColor rgb="FFC1F0C8"/>
      </patternFill>
    </fill>
    <fill>
      <patternFill patternType="solid">
        <fgColor rgb="FFC1F0C8"/>
        <bgColor rgb="FFDAF2D0"/>
      </patternFill>
    </fill>
    <fill>
      <patternFill patternType="solid">
        <fgColor rgb="FFDAF2D0"/>
        <bgColor rgb="FFE2F0D9"/>
      </patternFill>
    </fill>
    <fill>
      <patternFill patternType="solid">
        <fgColor rgb="FFD0D0D0"/>
        <bgColor rgb="FFC5E0B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6">
    <xf numFmtId="0" fontId="0" fillId="0" borderId="0" xfId="0"/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0" fillId="0" borderId="0" xfId="0" applyNumberFormat="1"/>
    <xf numFmtId="0" fontId="4" fillId="3" borderId="1" xfId="0" applyFont="1" applyFill="1" applyBorder="1"/>
    <xf numFmtId="164" fontId="4" fillId="3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wrapText="1"/>
    </xf>
    <xf numFmtId="167" fontId="0" fillId="0" borderId="4" xfId="0" applyNumberFormat="1" applyBorder="1" applyAlignment="1">
      <alignment wrapText="1"/>
    </xf>
    <xf numFmtId="168" fontId="0" fillId="0" borderId="1" xfId="0" applyNumberFormat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0" fontId="6" fillId="0" borderId="1" xfId="0" applyFont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" fontId="0" fillId="0" borderId="6" xfId="0" applyNumberForma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0" fontId="0" fillId="0" borderId="1" xfId="0" applyBorder="1" applyAlignment="1">
      <alignment vertical="top" wrapText="1"/>
    </xf>
    <xf numFmtId="170" fontId="9" fillId="0" borderId="1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5" fontId="0" fillId="0" borderId="1" xfId="0" applyNumberFormat="1" applyBorder="1"/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0" fontId="12" fillId="11" borderId="1" xfId="0" applyFont="1" applyFill="1" applyBorder="1" applyAlignment="1">
      <alignment horizontal="left" vertical="center" indent="1"/>
    </xf>
    <xf numFmtId="0" fontId="12" fillId="11" borderId="4" xfId="0" applyFont="1" applyFill="1" applyBorder="1" applyAlignment="1">
      <alignment horizontal="left" vertical="center" indent="1"/>
    </xf>
    <xf numFmtId="0" fontId="12" fillId="11" borderId="4" xfId="0" applyFont="1" applyFill="1" applyBorder="1" applyAlignment="1">
      <alignment horizontal="left" vertical="center" wrapText="1" indent="1"/>
    </xf>
    <xf numFmtId="0" fontId="12" fillId="11" borderId="2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left" vertical="center" indent="1"/>
    </xf>
    <xf numFmtId="171" fontId="12" fillId="12" borderId="5" xfId="0" applyNumberFormat="1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172" fontId="12" fillId="12" borderId="5" xfId="0" applyNumberFormat="1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left" vertical="center" wrapText="1" inden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171" fontId="13" fillId="0" borderId="5" xfId="0" applyNumberFormat="1" applyFont="1" applyBorder="1" applyAlignment="1">
      <alignment horizontal="center" vertical="center"/>
    </xf>
    <xf numFmtId="9" fontId="13" fillId="0" borderId="5" xfId="0" applyNumberFormat="1" applyFont="1" applyBorder="1" applyAlignment="1">
      <alignment vertical="center"/>
    </xf>
    <xf numFmtId="172" fontId="13" fillId="0" borderId="5" xfId="0" applyNumberFormat="1" applyFont="1" applyBorder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 indent="1"/>
    </xf>
    <xf numFmtId="171" fontId="13" fillId="13" borderId="5" xfId="0" applyNumberFormat="1" applyFont="1" applyFill="1" applyBorder="1" applyAlignment="1">
      <alignment horizontal="center" vertical="center"/>
    </xf>
    <xf numFmtId="172" fontId="13" fillId="0" borderId="5" xfId="0" applyNumberFormat="1" applyFont="1" applyBorder="1" applyAlignment="1">
      <alignment horizontal="center" vertical="center"/>
    </xf>
    <xf numFmtId="172" fontId="12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 indent="1"/>
    </xf>
    <xf numFmtId="172" fontId="12" fillId="12" borderId="5" xfId="0" applyNumberFormat="1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171" fontId="12" fillId="0" borderId="5" xfId="0" applyNumberFormat="1" applyFont="1" applyBorder="1" applyAlignment="1">
      <alignment horizontal="center" vertical="center"/>
    </xf>
    <xf numFmtId="172" fontId="12" fillId="0" borderId="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1"/>
    </xf>
    <xf numFmtId="171" fontId="12" fillId="14" borderId="5" xfId="0" applyNumberFormat="1" applyFont="1" applyFill="1" applyBorder="1" applyAlignment="1">
      <alignment vertical="center"/>
    </xf>
    <xf numFmtId="0" fontId="13" fillId="14" borderId="5" xfId="0" applyFont="1" applyFill="1" applyBorder="1" applyAlignment="1">
      <alignment vertical="center"/>
    </xf>
    <xf numFmtId="172" fontId="12" fillId="14" borderId="5" xfId="0" applyNumberFormat="1" applyFont="1" applyFill="1" applyBorder="1" applyAlignment="1">
      <alignment horizontal="center" vertical="center"/>
    </xf>
    <xf numFmtId="0" fontId="13" fillId="14" borderId="4" xfId="0" applyFont="1" applyFill="1" applyBorder="1" applyAlignment="1">
      <alignment horizontal="left" vertical="center" indent="1"/>
    </xf>
    <xf numFmtId="9" fontId="0" fillId="0" borderId="0" xfId="0" applyNumberFormat="1"/>
    <xf numFmtId="0" fontId="0" fillId="15" borderId="0" xfId="0" applyFill="1"/>
    <xf numFmtId="0" fontId="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73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 applyAlignment="1">
      <alignment wrapText="1"/>
    </xf>
    <xf numFmtId="0" fontId="16" fillId="0" borderId="0" xfId="0" applyFont="1"/>
    <xf numFmtId="0" fontId="17" fillId="0" borderId="0" xfId="0" applyFont="1"/>
    <xf numFmtId="49" fontId="19" fillId="0" borderId="0" xfId="0" applyNumberFormat="1" applyFont="1"/>
    <xf numFmtId="49" fontId="1" fillId="0" borderId="0" xfId="0" applyNumberFormat="1" applyFont="1"/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14" xfId="0" applyFont="1" applyBorder="1"/>
    <xf numFmtId="0" fontId="21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2" fontId="21" fillId="0" borderId="3" xfId="0" applyNumberFormat="1" applyFont="1" applyBorder="1" applyAlignment="1">
      <alignment horizontal="center"/>
    </xf>
    <xf numFmtId="2" fontId="21" fillId="0" borderId="15" xfId="0" applyNumberFormat="1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3" fillId="0" borderId="2" xfId="0" applyFont="1" applyBorder="1"/>
    <xf numFmtId="2" fontId="23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4" fillId="0" borderId="0" xfId="0" applyFont="1"/>
    <xf numFmtId="0" fontId="21" fillId="0" borderId="0" xfId="0" applyFont="1" applyAlignment="1">
      <alignment vertical="center"/>
    </xf>
    <xf numFmtId="0" fontId="17" fillId="0" borderId="16" xfId="0" applyFont="1" applyBorder="1" applyAlignment="1">
      <alignment wrapText="1"/>
    </xf>
    <xf numFmtId="0" fontId="17" fillId="0" borderId="17" xfId="0" applyFont="1" applyBorder="1"/>
    <xf numFmtId="0" fontId="17" fillId="0" borderId="18" xfId="0" applyFont="1" applyBorder="1"/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4" fontId="0" fillId="0" borderId="0" xfId="0" applyNumberFormat="1"/>
    <xf numFmtId="0" fontId="0" fillId="0" borderId="20" xfId="0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7" fontId="0" fillId="0" borderId="0" xfId="0" applyNumberFormat="1"/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2" fillId="14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0" fillId="0" borderId="7" xfId="0" applyBorder="1" applyAlignment="1">
      <alignment horizontal="center"/>
    </xf>
    <xf numFmtId="43" fontId="0" fillId="0" borderId="0" xfId="0" applyNumberFormat="1"/>
  </cellXfs>
  <cellStyles count="3">
    <cellStyle name="Гиперссылка 2" xfId="1" xr:uid="{00000000-0005-0000-0000-000006000000}"/>
    <cellStyle name="Обычный" xfId="0" builtinId="0"/>
    <cellStyle name="Обычный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C0E6F5"/>
      <rgbColor rgb="FF660066"/>
      <rgbColor rgb="FFFF8080"/>
      <rgbColor rgb="FF0563C1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F0D9"/>
      <rgbColor rgb="FFDAF2D0"/>
      <rgbColor rgb="FFFFD966"/>
      <rgbColor rgb="FFC5E0B4"/>
      <rgbColor rgb="FFFF99CC"/>
      <rgbColor rgb="FFC1F0C8"/>
      <rgbColor rgb="FFF8CBAD"/>
      <rgbColor rgb="FF3366FF"/>
      <rgbColor rgb="FF33CCCC"/>
      <rgbColor rgb="FFA9D18E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rosstat.gov.ru/statistics/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zoomScale="84" zoomScaleNormal="84" workbookViewId="0">
      <selection activeCell="O38" sqref="O38"/>
    </sheetView>
  </sheetViews>
  <sheetFormatPr baseColWidth="10" defaultColWidth="10.6640625" defaultRowHeight="16" x14ac:dyDescent="0.2"/>
  <cols>
    <col min="3" max="3" width="25.6640625" customWidth="1"/>
    <col min="4" max="4" width="13.33203125" customWidth="1"/>
    <col min="5" max="5" width="16.1640625" customWidth="1"/>
    <col min="6" max="6" width="20.5" customWidth="1"/>
  </cols>
  <sheetData>
    <row r="2" spans="2:9" s="7" customFormat="1" ht="34.5" customHeight="1" x14ac:dyDescent="0.2">
      <c r="C2" s="8"/>
      <c r="D2" s="9" t="s">
        <v>0</v>
      </c>
      <c r="E2" s="8" t="s">
        <v>1</v>
      </c>
      <c r="F2" s="8" t="s">
        <v>2</v>
      </c>
    </row>
    <row r="3" spans="2:9" s="7" customFormat="1" ht="16.5" customHeight="1" x14ac:dyDescent="0.2">
      <c r="C3" s="8" t="s">
        <v>3</v>
      </c>
      <c r="D3" s="8" t="s">
        <v>4</v>
      </c>
      <c r="E3" s="8" t="s">
        <v>4</v>
      </c>
      <c r="F3" s="8" t="s">
        <v>4</v>
      </c>
    </row>
    <row r="4" spans="2:9" ht="15.75" customHeight="1" x14ac:dyDescent="0.2">
      <c r="B4">
        <v>1</v>
      </c>
      <c r="C4" s="10">
        <v>2027</v>
      </c>
      <c r="D4" s="11">
        <f>E4-F4</f>
        <v>2587</v>
      </c>
      <c r="E4" s="11">
        <f>'Сравнение БС'!F4</f>
        <v>4667</v>
      </c>
      <c r="F4" s="11">
        <f>'Расчетная модель ПС '!C106</f>
        <v>2080</v>
      </c>
      <c r="G4" s="12"/>
    </row>
    <row r="5" spans="2:9" ht="15.75" customHeight="1" x14ac:dyDescent="0.2">
      <c r="B5">
        <v>2</v>
      </c>
      <c r="C5" s="10">
        <v>2028</v>
      </c>
      <c r="D5" s="11">
        <f>E5-F5</f>
        <v>2587</v>
      </c>
      <c r="E5" s="11">
        <f>'Сравнение БС'!F5</f>
        <v>4667</v>
      </c>
      <c r="F5" s="11">
        <f>'Расчетная модель ПС '!D106</f>
        <v>2080</v>
      </c>
      <c r="G5" s="12"/>
      <c r="I5" s="7"/>
    </row>
    <row r="6" spans="2:9" ht="15.75" customHeight="1" x14ac:dyDescent="0.2">
      <c r="B6">
        <v>3</v>
      </c>
      <c r="C6" s="10">
        <v>2029</v>
      </c>
      <c r="D6" s="11">
        <f>E6-F6</f>
        <v>2276</v>
      </c>
      <c r="E6" s="11">
        <f>'Сравнение БС'!F6</f>
        <v>4356</v>
      </c>
      <c r="F6" s="11">
        <f>'Расчетная модель ПС '!E106</f>
        <v>2080</v>
      </c>
      <c r="G6" s="12"/>
      <c r="I6" s="7"/>
    </row>
    <row r="7" spans="2:9" ht="15.75" customHeight="1" x14ac:dyDescent="0.2">
      <c r="B7">
        <v>4</v>
      </c>
      <c r="C7" s="10">
        <v>2030</v>
      </c>
      <c r="D7" s="11">
        <f>E7-F7</f>
        <v>2084</v>
      </c>
      <c r="E7" s="11">
        <f>'Сравнение БС'!F7</f>
        <v>4164</v>
      </c>
      <c r="F7" s="11">
        <f>'Расчетная модель ПС '!F106</f>
        <v>2080</v>
      </c>
      <c r="G7" s="12"/>
      <c r="I7" s="7"/>
    </row>
    <row r="8" spans="2:9" ht="15.75" customHeight="1" x14ac:dyDescent="0.2">
      <c r="B8">
        <v>5</v>
      </c>
      <c r="C8" s="10">
        <v>2031</v>
      </c>
      <c r="D8" s="11">
        <f>E8-F8</f>
        <v>2084</v>
      </c>
      <c r="E8" s="11">
        <f>'Сравнение БС'!F8</f>
        <v>4164</v>
      </c>
      <c r="F8" s="11">
        <f>'Расчетная модель ПС '!G106</f>
        <v>2080</v>
      </c>
      <c r="G8" s="12"/>
      <c r="I8" s="7"/>
    </row>
    <row r="9" spans="2:9" ht="15.75" customHeight="1" x14ac:dyDescent="0.2">
      <c r="C9" s="13" t="s">
        <v>5</v>
      </c>
      <c r="D9" s="14">
        <f>SUM(D4:D8)</f>
        <v>11618</v>
      </c>
      <c r="E9" s="14">
        <f>SUM(E4:E8)</f>
        <v>22018</v>
      </c>
      <c r="F9" s="14">
        <f>SUM(F4:F8)</f>
        <v>10400</v>
      </c>
      <c r="G9" s="12"/>
      <c r="I9" s="7"/>
    </row>
    <row r="10" spans="2:9" ht="15.75" customHeight="1" x14ac:dyDescent="0.2">
      <c r="B10">
        <v>6</v>
      </c>
      <c r="C10" s="10">
        <v>2032</v>
      </c>
      <c r="D10" s="11">
        <f>E10-F10</f>
        <v>2084</v>
      </c>
      <c r="E10" s="11">
        <f>'Сравнение БС'!F10</f>
        <v>4164</v>
      </c>
      <c r="F10" s="11">
        <f>'Расчетная модель ПС '!H106</f>
        <v>2080</v>
      </c>
      <c r="G10" s="12"/>
      <c r="I10" s="7"/>
    </row>
    <row r="11" spans="2:9" ht="15.75" customHeight="1" x14ac:dyDescent="0.2">
      <c r="B11">
        <v>7</v>
      </c>
      <c r="C11" s="10">
        <v>2033</v>
      </c>
      <c r="D11" s="11">
        <f>E11-F11</f>
        <v>2084</v>
      </c>
      <c r="E11" s="11">
        <f>'Сравнение БС'!F11</f>
        <v>4164</v>
      </c>
      <c r="F11" s="11">
        <f>'Расчетная модель ПС '!I106</f>
        <v>2080</v>
      </c>
      <c r="G11" s="12"/>
      <c r="I11" s="7"/>
    </row>
    <row r="12" spans="2:9" ht="15.75" customHeight="1" x14ac:dyDescent="0.2">
      <c r="B12">
        <v>8</v>
      </c>
      <c r="C12" s="10">
        <v>2034</v>
      </c>
      <c r="D12" s="11">
        <f>E12-F12</f>
        <v>2084</v>
      </c>
      <c r="E12" s="11">
        <f>'Сравнение БС'!F12</f>
        <v>4164</v>
      </c>
      <c r="F12" s="11">
        <f>'Расчетная модель ПС '!J106</f>
        <v>2080</v>
      </c>
      <c r="G12" s="12"/>
      <c r="I12" s="7"/>
    </row>
    <row r="13" spans="2:9" ht="15.75" customHeight="1" x14ac:dyDescent="0.2">
      <c r="B13">
        <v>9</v>
      </c>
      <c r="C13" s="10">
        <v>2035</v>
      </c>
      <c r="D13" s="11">
        <f>E13-F13</f>
        <v>2084</v>
      </c>
      <c r="E13" s="11">
        <f>'Сравнение БС'!F13</f>
        <v>4164</v>
      </c>
      <c r="F13" s="11">
        <f>'Расчетная модель ПС '!K106</f>
        <v>2080</v>
      </c>
      <c r="G13" s="12"/>
      <c r="I13" s="7"/>
    </row>
    <row r="14" spans="2:9" ht="15.75" customHeight="1" x14ac:dyDescent="0.2">
      <c r="B14">
        <v>10</v>
      </c>
      <c r="C14" s="10">
        <v>2036</v>
      </c>
      <c r="D14" s="11">
        <f>E14-F14</f>
        <v>2084</v>
      </c>
      <c r="E14" s="11">
        <f>'Сравнение БС'!F14</f>
        <v>4164</v>
      </c>
      <c r="F14" s="11">
        <f>'Расчетная модель ПС '!L106</f>
        <v>2080</v>
      </c>
      <c r="G14" s="12"/>
      <c r="I14" s="7"/>
    </row>
    <row r="15" spans="2:9" ht="15.75" customHeight="1" x14ac:dyDescent="0.2">
      <c r="C15" s="13" t="s">
        <v>5</v>
      </c>
      <c r="D15" s="14">
        <f>SUM(D10:D14)</f>
        <v>10420</v>
      </c>
      <c r="E15" s="14">
        <f>SUM(E10:E14)</f>
        <v>20820</v>
      </c>
      <c r="F15" s="14">
        <f>SUM(F10:F14)</f>
        <v>10400</v>
      </c>
      <c r="G15" s="12"/>
      <c r="I15" s="7"/>
    </row>
    <row r="16" spans="2:9" ht="15.75" customHeight="1" x14ac:dyDescent="0.2">
      <c r="B16">
        <v>11</v>
      </c>
      <c r="C16" s="10">
        <v>2037</v>
      </c>
      <c r="D16" s="11">
        <f>E16-F16</f>
        <v>1528</v>
      </c>
      <c r="E16" s="11">
        <f>'Сравнение БС'!F16</f>
        <v>3608</v>
      </c>
      <c r="F16" s="11">
        <f>'Расчетная модель ПС '!M106</f>
        <v>2080</v>
      </c>
      <c r="G16" s="12"/>
      <c r="I16" s="7"/>
    </row>
    <row r="17" spans="2:9" ht="15.75" customHeight="1" x14ac:dyDescent="0.2">
      <c r="B17">
        <v>12</v>
      </c>
      <c r="C17" s="10">
        <v>2038</v>
      </c>
      <c r="D17" s="11">
        <f>E17-F17</f>
        <v>1315</v>
      </c>
      <c r="E17" s="11">
        <f>'Сравнение БС'!F17</f>
        <v>3395</v>
      </c>
      <c r="F17" s="11">
        <f>'Расчетная модель ПС '!N106</f>
        <v>2080</v>
      </c>
      <c r="G17" s="12"/>
      <c r="I17" s="7"/>
    </row>
    <row r="18" spans="2:9" ht="15.75" customHeight="1" x14ac:dyDescent="0.2">
      <c r="B18">
        <v>13</v>
      </c>
      <c r="C18" s="10">
        <v>2039</v>
      </c>
      <c r="D18" s="11">
        <f>E18-F18</f>
        <v>1315</v>
      </c>
      <c r="E18" s="11">
        <f>'Сравнение БС'!F18</f>
        <v>3395</v>
      </c>
      <c r="F18" s="11">
        <f>'Расчетная модель ПС '!O106</f>
        <v>2080</v>
      </c>
      <c r="G18" s="12"/>
      <c r="I18" s="7"/>
    </row>
    <row r="19" spans="2:9" ht="15.75" customHeight="1" x14ac:dyDescent="0.2">
      <c r="B19">
        <v>14</v>
      </c>
      <c r="C19" s="10">
        <v>2040</v>
      </c>
      <c r="D19" s="11">
        <f>E19-F19</f>
        <v>1315</v>
      </c>
      <c r="E19" s="11">
        <f>'Сравнение БС'!F19</f>
        <v>3395</v>
      </c>
      <c r="F19" s="11">
        <f>'Расчетная модель ПС '!P106</f>
        <v>2080</v>
      </c>
      <c r="G19" s="12"/>
      <c r="I19" s="7"/>
    </row>
    <row r="20" spans="2:9" ht="15.75" customHeight="1" x14ac:dyDescent="0.2">
      <c r="B20">
        <v>15</v>
      </c>
      <c r="C20" s="10">
        <v>2041</v>
      </c>
      <c r="D20" s="11">
        <f>E20-F20</f>
        <v>1315</v>
      </c>
      <c r="E20" s="11">
        <f>'Сравнение БС'!F20</f>
        <v>3395</v>
      </c>
      <c r="F20" s="11">
        <f>'Расчетная модель ПС '!Q106</f>
        <v>2080</v>
      </c>
      <c r="G20" s="12"/>
    </row>
    <row r="21" spans="2:9" ht="15.75" customHeight="1" x14ac:dyDescent="0.2">
      <c r="C21" s="13" t="s">
        <v>5</v>
      </c>
      <c r="D21" s="14">
        <f>SUM(D16:D20)</f>
        <v>6788</v>
      </c>
      <c r="E21" s="14">
        <f>SUM(E16:E20)</f>
        <v>17188</v>
      </c>
      <c r="F21" s="14">
        <f>SUM(F16:F20)</f>
        <v>10400</v>
      </c>
      <c r="G21" s="12"/>
    </row>
    <row r="22" spans="2:9" ht="15.75" customHeight="1" x14ac:dyDescent="0.2">
      <c r="C22" s="10"/>
      <c r="D22" s="10"/>
      <c r="E22" s="15"/>
      <c r="F22" s="16"/>
      <c r="G22" s="12"/>
    </row>
    <row r="23" spans="2:9" ht="15.75" customHeight="1" x14ac:dyDescent="0.2">
      <c r="C23" s="13" t="s">
        <v>6</v>
      </c>
      <c r="D23" s="14">
        <f>SUM(D9,D15,D21)</f>
        <v>28826</v>
      </c>
      <c r="E23" s="14">
        <f>SUM(E9,E15,E21)</f>
        <v>60026</v>
      </c>
      <c r="F23" s="14">
        <f>SUM(F9,F15,F21)</f>
        <v>31200</v>
      </c>
      <c r="G23" s="12"/>
    </row>
    <row r="24" spans="2:9" ht="15.75" customHeight="1" x14ac:dyDescent="0.2">
      <c r="C24" s="17"/>
      <c r="D24" s="18"/>
      <c r="F24" s="7"/>
    </row>
    <row r="25" spans="2:9" ht="15.75" customHeight="1" x14ac:dyDescent="0.2">
      <c r="C25" t="s">
        <v>7</v>
      </c>
      <c r="D25" s="12">
        <f>D23/15</f>
        <v>1921.7333333333333</v>
      </c>
      <c r="F25" s="7"/>
    </row>
    <row r="26" spans="2:9" ht="15.75" customHeight="1" x14ac:dyDescent="0.2">
      <c r="F26" s="7"/>
    </row>
    <row r="27" spans="2:9" ht="15.75" customHeight="1" x14ac:dyDescent="0.2">
      <c r="F27" s="7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9"/>
  <sheetViews>
    <sheetView topLeftCell="C17" zoomScale="104" zoomScaleNormal="104" workbookViewId="0">
      <selection activeCell="G51" sqref="G51:H51"/>
    </sheetView>
  </sheetViews>
  <sheetFormatPr baseColWidth="10" defaultColWidth="8.83203125" defaultRowHeight="16" x14ac:dyDescent="0.2"/>
  <cols>
    <col min="1" max="1" width="29.83203125" customWidth="1"/>
    <col min="2" max="3" width="23" customWidth="1"/>
    <col min="4" max="5" width="15" customWidth="1"/>
    <col min="6" max="6" width="18.1640625" customWidth="1"/>
    <col min="7" max="7" width="9" customWidth="1"/>
    <col min="8" max="8" width="9.6640625" customWidth="1"/>
    <col min="9" max="21" width="7" customWidth="1"/>
  </cols>
  <sheetData>
    <row r="1" spans="1:9" s="7" customFormat="1" ht="51" customHeight="1" x14ac:dyDescent="0.2">
      <c r="A1" s="5" t="s">
        <v>105</v>
      </c>
      <c r="B1" s="5" t="s">
        <v>106</v>
      </c>
      <c r="C1" s="5" t="s">
        <v>107</v>
      </c>
      <c r="D1" s="183" t="s">
        <v>108</v>
      </c>
      <c r="E1" s="183"/>
      <c r="F1" s="183"/>
      <c r="G1" s="81" t="s">
        <v>65</v>
      </c>
      <c r="H1" s="24" t="s">
        <v>109</v>
      </c>
    </row>
    <row r="2" spans="1:9" ht="15.75" customHeight="1" x14ac:dyDescent="0.2">
      <c r="A2" s="5"/>
      <c r="B2" s="82"/>
      <c r="C2" s="82"/>
      <c r="D2" s="82" t="s">
        <v>110</v>
      </c>
      <c r="E2" s="82" t="s">
        <v>111</v>
      </c>
      <c r="F2" s="82" t="s">
        <v>112</v>
      </c>
      <c r="G2" s="82"/>
      <c r="H2" s="24"/>
      <c r="I2" s="83"/>
    </row>
    <row r="3" spans="1:9" ht="15.75" customHeight="1" x14ac:dyDescent="0.2">
      <c r="A3" s="180" t="s">
        <v>113</v>
      </c>
      <c r="B3" s="65" t="s">
        <v>114</v>
      </c>
      <c r="C3" s="24">
        <v>0.63</v>
      </c>
      <c r="D3" s="24">
        <v>54.4</v>
      </c>
      <c r="E3" s="24">
        <v>57.1</v>
      </c>
      <c r="F3" s="24">
        <v>57.8</v>
      </c>
      <c r="G3" s="84">
        <f>SUMPRODUCT(F20:F24,E20:E24)/SUM(E20:E24)</f>
        <v>46.23544494720965</v>
      </c>
      <c r="H3" s="3">
        <v>215059</v>
      </c>
    </row>
    <row r="4" spans="1:9" ht="15.75" customHeight="1" x14ac:dyDescent="0.2">
      <c r="A4" s="180"/>
      <c r="B4" s="65" t="s">
        <v>114</v>
      </c>
      <c r="C4" s="24">
        <v>0.63</v>
      </c>
      <c r="D4" s="24">
        <v>54.4</v>
      </c>
      <c r="E4" s="24">
        <v>57.1</v>
      </c>
      <c r="F4" s="24">
        <v>57.8</v>
      </c>
      <c r="G4" s="85"/>
      <c r="H4" s="3">
        <v>239</v>
      </c>
    </row>
    <row r="5" spans="1:9" ht="16.5" customHeight="1" x14ac:dyDescent="0.2">
      <c r="A5" s="180"/>
      <c r="B5" s="86" t="s">
        <v>115</v>
      </c>
      <c r="C5" s="6">
        <v>1.1599999999999999</v>
      </c>
      <c r="D5" s="6">
        <v>55.8</v>
      </c>
      <c r="E5" s="6">
        <v>56</v>
      </c>
      <c r="F5" s="6">
        <v>56.1</v>
      </c>
      <c r="G5" s="85"/>
      <c r="H5" s="87" t="s">
        <v>116</v>
      </c>
    </row>
    <row r="6" spans="1:9" ht="16.5" customHeight="1" x14ac:dyDescent="0.2">
      <c r="A6" s="180"/>
      <c r="B6" s="86" t="s">
        <v>117</v>
      </c>
      <c r="C6" s="6">
        <v>1</v>
      </c>
      <c r="D6" s="6">
        <v>38.9</v>
      </c>
      <c r="E6" s="6">
        <v>39.799999999999997</v>
      </c>
      <c r="F6" s="6">
        <v>40.1</v>
      </c>
      <c r="G6" s="85"/>
      <c r="H6" s="3">
        <v>307</v>
      </c>
    </row>
    <row r="7" spans="1:9" ht="16.5" customHeight="1" x14ac:dyDescent="0.2">
      <c r="A7" s="180"/>
      <c r="B7" s="86" t="s">
        <v>117</v>
      </c>
      <c r="C7" s="6">
        <v>1</v>
      </c>
      <c r="D7" s="6">
        <v>28</v>
      </c>
      <c r="E7" s="6">
        <v>29.3</v>
      </c>
      <c r="F7" s="6">
        <v>28.9</v>
      </c>
      <c r="G7" s="88"/>
      <c r="H7" s="3">
        <v>306</v>
      </c>
    </row>
    <row r="8" spans="1:9" ht="15.75" customHeight="1" x14ac:dyDescent="0.2">
      <c r="A8" s="184" t="s">
        <v>118</v>
      </c>
      <c r="B8" s="86"/>
      <c r="C8" s="6"/>
      <c r="D8" s="6"/>
      <c r="E8" s="6"/>
      <c r="F8" s="6"/>
      <c r="G8" s="84">
        <f>AVERAGE(D9:F9)</f>
        <v>39.766666666666673</v>
      </c>
      <c r="H8" s="24"/>
    </row>
    <row r="9" spans="1:9" ht="16.5" customHeight="1" x14ac:dyDescent="0.2">
      <c r="A9" s="184"/>
      <c r="B9" s="86" t="s">
        <v>119</v>
      </c>
      <c r="C9" s="6">
        <v>0.63</v>
      </c>
      <c r="D9" s="6">
        <v>38.5</v>
      </c>
      <c r="E9" s="6">
        <v>39.700000000000003</v>
      </c>
      <c r="F9" s="6">
        <v>41.1</v>
      </c>
      <c r="G9" s="88"/>
      <c r="H9" s="24">
        <v>316</v>
      </c>
    </row>
    <row r="10" spans="1:9" ht="16.5" customHeight="1" x14ac:dyDescent="0.2">
      <c r="A10" s="184" t="s">
        <v>120</v>
      </c>
      <c r="B10" s="86" t="s">
        <v>121</v>
      </c>
      <c r="C10" s="6">
        <v>1</v>
      </c>
      <c r="D10" s="6">
        <v>63.8</v>
      </c>
      <c r="E10" s="6">
        <v>64.8</v>
      </c>
      <c r="F10" s="6">
        <v>65.5</v>
      </c>
      <c r="G10" s="84">
        <f>(AVERAGE(D10:F10)+AVERAGE(D11:F11))/2</f>
        <v>67.008333333333326</v>
      </c>
      <c r="H10" s="3">
        <v>1402</v>
      </c>
    </row>
    <row r="11" spans="1:9" ht="16.5" customHeight="1" x14ac:dyDescent="0.2">
      <c r="A11" s="184"/>
      <c r="B11" s="86" t="s">
        <v>121</v>
      </c>
      <c r="C11" s="6">
        <v>1</v>
      </c>
      <c r="D11" s="6">
        <v>66.650000000000006</v>
      </c>
      <c r="E11" s="6">
        <v>68.25</v>
      </c>
      <c r="F11" s="6">
        <v>73.05</v>
      </c>
      <c r="G11" s="88"/>
      <c r="H11" s="3">
        <v>2015</v>
      </c>
    </row>
    <row r="12" spans="1:9" ht="15.75" customHeight="1" x14ac:dyDescent="0.2">
      <c r="A12" s="184" t="s">
        <v>122</v>
      </c>
      <c r="B12" s="65" t="s">
        <v>123</v>
      </c>
      <c r="C12" s="6">
        <v>0.4</v>
      </c>
      <c r="D12" s="6">
        <v>49.6</v>
      </c>
      <c r="E12" s="6">
        <v>50.2</v>
      </c>
      <c r="F12" s="6">
        <v>50.6</v>
      </c>
      <c r="G12" s="89">
        <f>(AVERAGE(D12:F12)+AVERAGE(D13:F13))/2</f>
        <v>50.099999999999994</v>
      </c>
      <c r="H12" s="3">
        <v>237</v>
      </c>
    </row>
    <row r="13" spans="1:9" ht="15.75" customHeight="1" x14ac:dyDescent="0.2">
      <c r="A13" s="184"/>
      <c r="B13" s="65" t="s">
        <v>123</v>
      </c>
      <c r="C13" s="6">
        <v>0.4</v>
      </c>
      <c r="D13" s="6">
        <v>51.4</v>
      </c>
      <c r="E13" s="6">
        <v>50</v>
      </c>
      <c r="F13" s="6">
        <v>48.8</v>
      </c>
      <c r="G13" s="90"/>
      <c r="H13" s="3">
        <v>238</v>
      </c>
    </row>
    <row r="17" spans="1:21" ht="15.75" customHeight="1" x14ac:dyDescent="0.2">
      <c r="A17" t="s">
        <v>124</v>
      </c>
      <c r="E17" t="s">
        <v>125</v>
      </c>
    </row>
    <row r="18" spans="1:21" ht="33.75" customHeight="1" x14ac:dyDescent="0.2">
      <c r="A18" s="5" t="s">
        <v>105</v>
      </c>
      <c r="B18" s="82" t="s">
        <v>106</v>
      </c>
      <c r="C18" s="82" t="s">
        <v>126</v>
      </c>
      <c r="D18" s="5" t="s">
        <v>127</v>
      </c>
      <c r="E18" s="82" t="s">
        <v>107</v>
      </c>
      <c r="F18" s="5" t="s">
        <v>128</v>
      </c>
      <c r="G18" s="82">
        <v>2027</v>
      </c>
      <c r="H18" s="82">
        <v>2028</v>
      </c>
      <c r="I18" s="82">
        <v>2029</v>
      </c>
      <c r="J18" s="82">
        <v>2030</v>
      </c>
      <c r="K18" s="82">
        <v>2031</v>
      </c>
      <c r="L18" s="82">
        <v>2032</v>
      </c>
      <c r="M18" s="82">
        <v>2033</v>
      </c>
      <c r="N18" s="82">
        <v>2034</v>
      </c>
      <c r="O18" s="82">
        <v>2035</v>
      </c>
      <c r="P18" s="82">
        <v>2036</v>
      </c>
      <c r="Q18" s="82">
        <v>2037</v>
      </c>
      <c r="R18" s="82">
        <v>2038</v>
      </c>
      <c r="S18" s="82">
        <v>2039</v>
      </c>
      <c r="T18" s="82">
        <v>2040</v>
      </c>
      <c r="U18" s="82">
        <v>2041</v>
      </c>
    </row>
    <row r="19" spans="1:21" ht="16.5" customHeight="1" x14ac:dyDescent="0.2">
      <c r="A19" s="91"/>
      <c r="B19" s="92"/>
      <c r="C19" s="92"/>
      <c r="D19" s="20"/>
      <c r="E19" s="92"/>
      <c r="F19" s="92" t="s">
        <v>110</v>
      </c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</row>
    <row r="20" spans="1:21" ht="15.75" customHeight="1" x14ac:dyDescent="0.2">
      <c r="A20" s="182" t="s">
        <v>113</v>
      </c>
      <c r="B20" s="94" t="s">
        <v>114</v>
      </c>
      <c r="C20" s="94">
        <v>2022</v>
      </c>
      <c r="D20" s="94">
        <v>2038</v>
      </c>
      <c r="E20" s="94">
        <v>0.63</v>
      </c>
      <c r="F20" s="95">
        <f>AVERAGE(D3:F3)</f>
        <v>56.433333333333337</v>
      </c>
      <c r="G20" s="95">
        <f t="shared" ref="G20:Q20" si="0">$F20</f>
        <v>56.433333333333337</v>
      </c>
      <c r="H20" s="95">
        <f t="shared" si="0"/>
        <v>56.433333333333337</v>
      </c>
      <c r="I20" s="95">
        <f t="shared" si="0"/>
        <v>56.433333333333337</v>
      </c>
      <c r="J20" s="95">
        <f t="shared" si="0"/>
        <v>56.433333333333337</v>
      </c>
      <c r="K20" s="95">
        <f t="shared" si="0"/>
        <v>56.433333333333337</v>
      </c>
      <c r="L20" s="95">
        <f t="shared" si="0"/>
        <v>56.433333333333337</v>
      </c>
      <c r="M20" s="95">
        <f t="shared" si="0"/>
        <v>56.433333333333337</v>
      </c>
      <c r="N20" s="95">
        <f t="shared" si="0"/>
        <v>56.433333333333337</v>
      </c>
      <c r="O20" s="95">
        <f t="shared" si="0"/>
        <v>56.433333333333337</v>
      </c>
      <c r="P20" s="95">
        <f t="shared" si="0"/>
        <v>56.433333333333337</v>
      </c>
      <c r="Q20" s="95">
        <f t="shared" si="0"/>
        <v>56.433333333333337</v>
      </c>
      <c r="R20" s="102">
        <v>85</v>
      </c>
      <c r="S20" s="102">
        <v>85</v>
      </c>
      <c r="T20" s="102">
        <v>85</v>
      </c>
      <c r="U20" s="105">
        <v>85</v>
      </c>
    </row>
    <row r="21" spans="1:21" ht="15.75" customHeight="1" x14ac:dyDescent="0.2">
      <c r="A21" s="182"/>
      <c r="B21" s="24" t="s">
        <v>114</v>
      </c>
      <c r="C21" s="24">
        <v>2021</v>
      </c>
      <c r="D21" s="24">
        <v>2037</v>
      </c>
      <c r="E21" s="24">
        <v>0.63</v>
      </c>
      <c r="F21" s="25">
        <f>AVERAGE(D4:F4)</f>
        <v>56.433333333333337</v>
      </c>
      <c r="G21" s="96">
        <f t="shared" ref="G21:P22" si="1">$F21</f>
        <v>56.433333333333337</v>
      </c>
      <c r="H21" s="96">
        <f t="shared" si="1"/>
        <v>56.433333333333337</v>
      </c>
      <c r="I21" s="96">
        <f t="shared" si="1"/>
        <v>56.433333333333337</v>
      </c>
      <c r="J21" s="96">
        <f t="shared" si="1"/>
        <v>56.433333333333337</v>
      </c>
      <c r="K21" s="96">
        <f t="shared" si="1"/>
        <v>56.433333333333337</v>
      </c>
      <c r="L21" s="96">
        <f t="shared" si="1"/>
        <v>56.433333333333337</v>
      </c>
      <c r="M21" s="96">
        <f t="shared" si="1"/>
        <v>56.433333333333337</v>
      </c>
      <c r="N21" s="96">
        <f t="shared" si="1"/>
        <v>56.433333333333337</v>
      </c>
      <c r="O21" s="96">
        <f t="shared" si="1"/>
        <v>56.433333333333337</v>
      </c>
      <c r="P21" s="96">
        <f t="shared" si="1"/>
        <v>56.433333333333337</v>
      </c>
      <c r="Q21" s="25">
        <v>85</v>
      </c>
      <c r="R21" s="25">
        <v>85</v>
      </c>
      <c r="S21" s="25">
        <v>85</v>
      </c>
      <c r="T21" s="25">
        <v>85</v>
      </c>
      <c r="U21" s="106">
        <v>85</v>
      </c>
    </row>
    <row r="22" spans="1:21" ht="16.5" customHeight="1" x14ac:dyDescent="0.2">
      <c r="A22" s="182"/>
      <c r="B22" s="6" t="s">
        <v>115</v>
      </c>
      <c r="C22" s="24">
        <v>2021</v>
      </c>
      <c r="D22" s="24">
        <v>2037</v>
      </c>
      <c r="E22" s="6">
        <v>1.1599999999999999</v>
      </c>
      <c r="F22" s="25">
        <f>AVERAGE(D5:F5)</f>
        <v>55.966666666666669</v>
      </c>
      <c r="G22" s="96">
        <f t="shared" si="1"/>
        <v>55.966666666666669</v>
      </c>
      <c r="H22" s="96">
        <f t="shared" si="1"/>
        <v>55.966666666666669</v>
      </c>
      <c r="I22" s="96">
        <f t="shared" si="1"/>
        <v>55.966666666666669</v>
      </c>
      <c r="J22" s="96">
        <f t="shared" si="1"/>
        <v>55.966666666666669</v>
      </c>
      <c r="K22" s="96">
        <f t="shared" si="1"/>
        <v>55.966666666666669</v>
      </c>
      <c r="L22" s="96">
        <f t="shared" si="1"/>
        <v>55.966666666666669</v>
      </c>
      <c r="M22" s="96">
        <f t="shared" si="1"/>
        <v>55.966666666666669</v>
      </c>
      <c r="N22" s="96">
        <f t="shared" si="1"/>
        <v>55.966666666666669</v>
      </c>
      <c r="O22" s="96">
        <f t="shared" si="1"/>
        <v>55.966666666666669</v>
      </c>
      <c r="P22" s="96">
        <f t="shared" si="1"/>
        <v>55.966666666666669</v>
      </c>
      <c r="Q22" s="25">
        <v>85</v>
      </c>
      <c r="R22" s="25">
        <v>85</v>
      </c>
      <c r="S22" s="25">
        <v>85</v>
      </c>
      <c r="T22" s="25">
        <v>85</v>
      </c>
      <c r="U22" s="106">
        <v>85</v>
      </c>
    </row>
    <row r="23" spans="1:21" ht="16.5" customHeight="1" x14ac:dyDescent="0.2">
      <c r="A23" s="182"/>
      <c r="B23" s="6" t="s">
        <v>117</v>
      </c>
      <c r="C23" s="24">
        <v>2013</v>
      </c>
      <c r="D23" s="24">
        <v>2027</v>
      </c>
      <c r="E23" s="6">
        <v>1</v>
      </c>
      <c r="F23" s="25">
        <f>AVERAGE(D6:F6)</f>
        <v>39.599999999999994</v>
      </c>
      <c r="G23" s="25">
        <v>85</v>
      </c>
      <c r="H23" s="25">
        <v>85</v>
      </c>
      <c r="I23" s="25">
        <v>85</v>
      </c>
      <c r="J23" s="25">
        <v>85</v>
      </c>
      <c r="K23" s="25">
        <v>85</v>
      </c>
      <c r="L23" s="25">
        <v>85</v>
      </c>
      <c r="M23" s="25">
        <v>85</v>
      </c>
      <c r="N23" s="25">
        <v>85</v>
      </c>
      <c r="O23" s="25">
        <v>85</v>
      </c>
      <c r="P23" s="25">
        <v>85</v>
      </c>
      <c r="Q23" s="25">
        <v>85</v>
      </c>
      <c r="R23" s="25">
        <v>85</v>
      </c>
      <c r="S23" s="25">
        <v>85</v>
      </c>
      <c r="T23" s="25">
        <v>85</v>
      </c>
      <c r="U23" s="106">
        <v>85</v>
      </c>
    </row>
    <row r="24" spans="1:21" ht="18" customHeight="1" x14ac:dyDescent="0.2">
      <c r="A24" s="182"/>
      <c r="B24" s="97" t="s">
        <v>117</v>
      </c>
      <c r="C24" s="98">
        <v>2013</v>
      </c>
      <c r="D24" s="98">
        <v>2027</v>
      </c>
      <c r="E24" s="97">
        <v>1</v>
      </c>
      <c r="F24" s="99">
        <f>AVERAGE(D7:F7)</f>
        <v>28.733333333333331</v>
      </c>
      <c r="G24" s="99">
        <v>85</v>
      </c>
      <c r="H24" s="99">
        <v>85</v>
      </c>
      <c r="I24" s="99">
        <v>85</v>
      </c>
      <c r="J24" s="99">
        <v>85</v>
      </c>
      <c r="K24" s="99">
        <v>85</v>
      </c>
      <c r="L24" s="99">
        <v>85</v>
      </c>
      <c r="M24" s="99">
        <v>85</v>
      </c>
      <c r="N24" s="99">
        <v>85</v>
      </c>
      <c r="O24" s="99">
        <v>85</v>
      </c>
      <c r="P24" s="99">
        <v>85</v>
      </c>
      <c r="Q24" s="99">
        <v>85</v>
      </c>
      <c r="R24" s="99">
        <v>85</v>
      </c>
      <c r="S24" s="99">
        <v>85</v>
      </c>
      <c r="T24" s="99">
        <v>85</v>
      </c>
      <c r="U24" s="107">
        <v>85</v>
      </c>
    </row>
    <row r="25" spans="1:21" ht="34.5" customHeight="1" x14ac:dyDescent="0.2">
      <c r="A25" s="4" t="s">
        <v>118</v>
      </c>
      <c r="B25" s="97" t="s">
        <v>119</v>
      </c>
      <c r="C25" s="98">
        <v>2014</v>
      </c>
      <c r="D25" s="98">
        <v>2029</v>
      </c>
      <c r="E25" s="97">
        <v>0.63</v>
      </c>
      <c r="F25" s="99">
        <f>AVERAGE(D9:F9)</f>
        <v>39.766666666666673</v>
      </c>
      <c r="G25" s="100">
        <f t="shared" ref="G25:H29" si="2">$F25</f>
        <v>39.766666666666673</v>
      </c>
      <c r="H25" s="100">
        <f t="shared" si="2"/>
        <v>39.766666666666673</v>
      </c>
      <c r="I25" s="99">
        <v>85</v>
      </c>
      <c r="J25" s="99">
        <v>85</v>
      </c>
      <c r="K25" s="99">
        <v>85</v>
      </c>
      <c r="L25" s="99">
        <v>85</v>
      </c>
      <c r="M25" s="99">
        <v>85</v>
      </c>
      <c r="N25" s="99">
        <v>85</v>
      </c>
      <c r="O25" s="99">
        <v>85</v>
      </c>
      <c r="P25" s="99">
        <v>85</v>
      </c>
      <c r="Q25" s="99">
        <v>85</v>
      </c>
      <c r="R25" s="99">
        <v>85</v>
      </c>
      <c r="S25" s="99">
        <v>85</v>
      </c>
      <c r="T25" s="99">
        <v>85</v>
      </c>
      <c r="U25" s="107">
        <v>85</v>
      </c>
    </row>
    <row r="26" spans="1:21" ht="16.5" customHeight="1" x14ac:dyDescent="0.2">
      <c r="A26" s="182" t="s">
        <v>120</v>
      </c>
      <c r="B26" s="101" t="s">
        <v>121</v>
      </c>
      <c r="C26" s="94">
        <v>2008</v>
      </c>
      <c r="D26" s="94">
        <v>2030</v>
      </c>
      <c r="E26" s="101">
        <v>1</v>
      </c>
      <c r="F26" s="102">
        <f>AVERAGE(D10:F10)</f>
        <v>64.7</v>
      </c>
      <c r="G26" s="95">
        <f t="shared" si="2"/>
        <v>64.7</v>
      </c>
      <c r="H26" s="95">
        <f t="shared" si="2"/>
        <v>64.7</v>
      </c>
      <c r="I26" s="95">
        <f>$F26</f>
        <v>64.7</v>
      </c>
      <c r="J26" s="102">
        <v>90</v>
      </c>
      <c r="K26" s="102">
        <v>90</v>
      </c>
      <c r="L26" s="102">
        <v>90</v>
      </c>
      <c r="M26" s="102">
        <v>90</v>
      </c>
      <c r="N26" s="102">
        <v>90</v>
      </c>
      <c r="O26" s="102">
        <v>90</v>
      </c>
      <c r="P26" s="102">
        <v>90</v>
      </c>
      <c r="Q26" s="102">
        <v>90</v>
      </c>
      <c r="R26" s="102">
        <v>90</v>
      </c>
      <c r="S26" s="102">
        <v>90</v>
      </c>
      <c r="T26" s="102">
        <v>90</v>
      </c>
      <c r="U26" s="105">
        <v>90</v>
      </c>
    </row>
    <row r="27" spans="1:21" ht="18" customHeight="1" x14ac:dyDescent="0.2">
      <c r="A27" s="182"/>
      <c r="B27" s="97" t="s">
        <v>121</v>
      </c>
      <c r="C27" s="98">
        <v>2018</v>
      </c>
      <c r="D27" s="98">
        <v>2038</v>
      </c>
      <c r="E27" s="97">
        <v>1</v>
      </c>
      <c r="F27" s="99">
        <f>AVERAGE(D11:F11)</f>
        <v>69.316666666666663</v>
      </c>
      <c r="G27" s="100">
        <f t="shared" si="2"/>
        <v>69.316666666666663</v>
      </c>
      <c r="H27" s="100">
        <f t="shared" si="2"/>
        <v>69.316666666666663</v>
      </c>
      <c r="I27" s="100">
        <f>$F27</f>
        <v>69.316666666666663</v>
      </c>
      <c r="J27" s="100">
        <f t="shared" ref="J27:Q27" si="3">$F27</f>
        <v>69.316666666666663</v>
      </c>
      <c r="K27" s="100">
        <f t="shared" si="3"/>
        <v>69.316666666666663</v>
      </c>
      <c r="L27" s="100">
        <f t="shared" si="3"/>
        <v>69.316666666666663</v>
      </c>
      <c r="M27" s="100">
        <f t="shared" si="3"/>
        <v>69.316666666666663</v>
      </c>
      <c r="N27" s="100">
        <f t="shared" si="3"/>
        <v>69.316666666666663</v>
      </c>
      <c r="O27" s="100">
        <f t="shared" si="3"/>
        <v>69.316666666666663</v>
      </c>
      <c r="P27" s="100">
        <f t="shared" si="3"/>
        <v>69.316666666666663</v>
      </c>
      <c r="Q27" s="100">
        <f t="shared" si="3"/>
        <v>69.316666666666663</v>
      </c>
      <c r="R27" s="25">
        <v>90</v>
      </c>
      <c r="S27" s="25">
        <v>90</v>
      </c>
      <c r="T27" s="25">
        <v>90</v>
      </c>
      <c r="U27" s="25">
        <v>90</v>
      </c>
    </row>
    <row r="28" spans="1:21" ht="15.75" customHeight="1" x14ac:dyDescent="0.2">
      <c r="A28" s="182" t="s">
        <v>122</v>
      </c>
      <c r="B28" s="94" t="s">
        <v>123</v>
      </c>
      <c r="C28" s="94">
        <v>2022</v>
      </c>
      <c r="D28" s="94">
        <v>2037</v>
      </c>
      <c r="E28" s="101">
        <v>0.4</v>
      </c>
      <c r="F28" s="102">
        <f>AVERAGE(D12:F12)</f>
        <v>50.133333333333333</v>
      </c>
      <c r="G28" s="95">
        <f t="shared" si="2"/>
        <v>50.133333333333333</v>
      </c>
      <c r="H28" s="95">
        <f t="shared" si="2"/>
        <v>50.133333333333333</v>
      </c>
      <c r="I28" s="95">
        <f>$F28</f>
        <v>50.133333333333333</v>
      </c>
      <c r="J28" s="95">
        <f t="shared" ref="J28:P29" si="4">$F28</f>
        <v>50.133333333333333</v>
      </c>
      <c r="K28" s="95">
        <f t="shared" si="4"/>
        <v>50.133333333333333</v>
      </c>
      <c r="L28" s="95">
        <f t="shared" si="4"/>
        <v>50.133333333333333</v>
      </c>
      <c r="M28" s="95">
        <f t="shared" si="4"/>
        <v>50.133333333333333</v>
      </c>
      <c r="N28" s="95">
        <f t="shared" si="4"/>
        <v>50.133333333333333</v>
      </c>
      <c r="O28" s="95">
        <f t="shared" si="4"/>
        <v>50.133333333333333</v>
      </c>
      <c r="P28" s="95">
        <f t="shared" si="4"/>
        <v>50.133333333333333</v>
      </c>
      <c r="Q28" s="102">
        <v>85</v>
      </c>
      <c r="R28" s="102">
        <v>85</v>
      </c>
      <c r="S28" s="102">
        <v>85</v>
      </c>
      <c r="T28" s="102">
        <v>85</v>
      </c>
      <c r="U28" s="105">
        <v>85</v>
      </c>
    </row>
    <row r="29" spans="1:21" ht="16.5" customHeight="1" x14ac:dyDescent="0.2">
      <c r="A29" s="182"/>
      <c r="B29" s="98" t="s">
        <v>123</v>
      </c>
      <c r="C29" s="98">
        <v>2022</v>
      </c>
      <c r="D29" s="98">
        <v>2037</v>
      </c>
      <c r="E29" s="97">
        <v>0.4</v>
      </c>
      <c r="F29" s="99">
        <f>AVERAGE(D13:F13)</f>
        <v>50.066666666666663</v>
      </c>
      <c r="G29" s="100">
        <f t="shared" si="2"/>
        <v>50.066666666666663</v>
      </c>
      <c r="H29" s="100">
        <f t="shared" si="2"/>
        <v>50.066666666666663</v>
      </c>
      <c r="I29" s="100">
        <f>$F29</f>
        <v>50.066666666666663</v>
      </c>
      <c r="J29" s="100">
        <f t="shared" si="4"/>
        <v>50.066666666666663</v>
      </c>
      <c r="K29" s="100">
        <f t="shared" si="4"/>
        <v>50.066666666666663</v>
      </c>
      <c r="L29" s="100">
        <f t="shared" si="4"/>
        <v>50.066666666666663</v>
      </c>
      <c r="M29" s="100">
        <f t="shared" si="4"/>
        <v>50.066666666666663</v>
      </c>
      <c r="N29" s="100">
        <f t="shared" si="4"/>
        <v>50.066666666666663</v>
      </c>
      <c r="O29" s="100">
        <f t="shared" si="4"/>
        <v>50.066666666666663</v>
      </c>
      <c r="P29" s="100">
        <f t="shared" si="4"/>
        <v>50.066666666666663</v>
      </c>
      <c r="Q29" s="99">
        <v>85</v>
      </c>
      <c r="R29" s="99">
        <v>85</v>
      </c>
      <c r="S29" s="99">
        <v>85</v>
      </c>
      <c r="T29" s="99">
        <v>85</v>
      </c>
      <c r="U29" s="107">
        <v>85</v>
      </c>
    </row>
    <row r="30" spans="1:21" ht="15.75" customHeight="1" x14ac:dyDescent="0.2"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5.75" customHeight="1" x14ac:dyDescent="0.2">
      <c r="F31" s="65" t="s">
        <v>129</v>
      </c>
      <c r="G31" s="108">
        <v>2027</v>
      </c>
      <c r="H31" s="108">
        <v>2028</v>
      </c>
      <c r="I31" s="108">
        <v>2029</v>
      </c>
      <c r="J31" s="108">
        <v>2030</v>
      </c>
      <c r="K31" s="108">
        <v>2031</v>
      </c>
      <c r="L31" s="108">
        <v>2032</v>
      </c>
      <c r="M31" s="108">
        <v>2033</v>
      </c>
      <c r="N31" s="108">
        <v>2034</v>
      </c>
      <c r="O31" s="108">
        <v>2035</v>
      </c>
      <c r="P31" s="108">
        <v>2036</v>
      </c>
      <c r="Q31" s="108">
        <v>2037</v>
      </c>
      <c r="R31" s="108">
        <v>2038</v>
      </c>
      <c r="S31" s="108">
        <v>2039</v>
      </c>
      <c r="T31" s="108">
        <v>2040</v>
      </c>
      <c r="U31" s="108">
        <v>2041</v>
      </c>
    </row>
    <row r="32" spans="1:21" ht="15.75" customHeight="1" x14ac:dyDescent="0.2">
      <c r="F32" s="65" t="s">
        <v>8</v>
      </c>
      <c r="G32" s="104">
        <f t="shared" ref="G32:U32" si="5">ROUND(SUMPRODUCT(G20:G24,$E$20:$E$24)/SUM($E$20:$E$24),2)</f>
        <v>69.239999999999995</v>
      </c>
      <c r="H32" s="104">
        <f t="shared" si="5"/>
        <v>69.239999999999995</v>
      </c>
      <c r="I32" s="104">
        <f t="shared" si="5"/>
        <v>69.239999999999995</v>
      </c>
      <c r="J32" s="104">
        <f t="shared" si="5"/>
        <v>69.239999999999995</v>
      </c>
      <c r="K32" s="104">
        <f t="shared" si="5"/>
        <v>69.239999999999995</v>
      </c>
      <c r="L32" s="104">
        <f t="shared" si="5"/>
        <v>69.239999999999995</v>
      </c>
      <c r="M32" s="104">
        <f t="shared" si="5"/>
        <v>69.239999999999995</v>
      </c>
      <c r="N32" s="104">
        <f t="shared" si="5"/>
        <v>69.239999999999995</v>
      </c>
      <c r="O32" s="104">
        <f t="shared" si="5"/>
        <v>69.239999999999995</v>
      </c>
      <c r="P32" s="104">
        <f t="shared" si="5"/>
        <v>69.239999999999995</v>
      </c>
      <c r="Q32" s="104">
        <f t="shared" si="5"/>
        <v>80.930000000000007</v>
      </c>
      <c r="R32" s="104">
        <f t="shared" si="5"/>
        <v>85</v>
      </c>
      <c r="S32" s="104">
        <f t="shared" si="5"/>
        <v>85</v>
      </c>
      <c r="T32" s="104">
        <f t="shared" si="5"/>
        <v>85</v>
      </c>
      <c r="U32" s="104">
        <f t="shared" si="5"/>
        <v>85</v>
      </c>
    </row>
    <row r="33" spans="6:21" ht="15.75" customHeight="1" x14ac:dyDescent="0.2">
      <c r="F33" s="65" t="s">
        <v>38</v>
      </c>
      <c r="G33" s="104">
        <f t="shared" ref="G33:U33" si="6">ROUND(AVERAGE(G25:G25),2)</f>
        <v>39.770000000000003</v>
      </c>
      <c r="H33" s="104">
        <f t="shared" si="6"/>
        <v>39.770000000000003</v>
      </c>
      <c r="I33" s="104">
        <f t="shared" si="6"/>
        <v>85</v>
      </c>
      <c r="J33" s="104">
        <f t="shared" si="6"/>
        <v>85</v>
      </c>
      <c r="K33" s="104">
        <f t="shared" si="6"/>
        <v>85</v>
      </c>
      <c r="L33" s="104">
        <f t="shared" si="6"/>
        <v>85</v>
      </c>
      <c r="M33" s="104">
        <f t="shared" si="6"/>
        <v>85</v>
      </c>
      <c r="N33" s="104">
        <f t="shared" si="6"/>
        <v>85</v>
      </c>
      <c r="O33" s="104">
        <f t="shared" si="6"/>
        <v>85</v>
      </c>
      <c r="P33" s="104">
        <f t="shared" si="6"/>
        <v>85</v>
      </c>
      <c r="Q33" s="104">
        <f t="shared" si="6"/>
        <v>85</v>
      </c>
      <c r="R33" s="104">
        <f t="shared" si="6"/>
        <v>85</v>
      </c>
      <c r="S33" s="104">
        <f t="shared" si="6"/>
        <v>85</v>
      </c>
      <c r="T33" s="104">
        <f t="shared" si="6"/>
        <v>85</v>
      </c>
      <c r="U33" s="104">
        <f t="shared" si="6"/>
        <v>85</v>
      </c>
    </row>
    <row r="34" spans="6:21" ht="15.75" customHeight="1" x14ac:dyDescent="0.2">
      <c r="F34" s="65" t="s">
        <v>42</v>
      </c>
      <c r="G34" s="104">
        <f t="shared" ref="G34:U34" si="7">ROUND(AVERAGE(G26:G27),2)</f>
        <v>67.010000000000005</v>
      </c>
      <c r="H34" s="104">
        <f t="shared" si="7"/>
        <v>67.010000000000005</v>
      </c>
      <c r="I34" s="104">
        <f t="shared" si="7"/>
        <v>67.010000000000005</v>
      </c>
      <c r="J34" s="104">
        <f t="shared" si="7"/>
        <v>79.66</v>
      </c>
      <c r="K34" s="104">
        <f t="shared" si="7"/>
        <v>79.66</v>
      </c>
      <c r="L34" s="104">
        <f t="shared" si="7"/>
        <v>79.66</v>
      </c>
      <c r="M34" s="104">
        <f t="shared" si="7"/>
        <v>79.66</v>
      </c>
      <c r="N34" s="104">
        <f t="shared" si="7"/>
        <v>79.66</v>
      </c>
      <c r="O34" s="104">
        <f t="shared" si="7"/>
        <v>79.66</v>
      </c>
      <c r="P34" s="104">
        <f t="shared" si="7"/>
        <v>79.66</v>
      </c>
      <c r="Q34" s="104">
        <f t="shared" si="7"/>
        <v>79.66</v>
      </c>
      <c r="R34" s="104">
        <f t="shared" si="7"/>
        <v>90</v>
      </c>
      <c r="S34" s="104">
        <f t="shared" si="7"/>
        <v>90</v>
      </c>
      <c r="T34" s="104">
        <f t="shared" si="7"/>
        <v>90</v>
      </c>
      <c r="U34" s="104">
        <f t="shared" si="7"/>
        <v>90</v>
      </c>
    </row>
    <row r="35" spans="6:21" ht="15.75" customHeight="1" x14ac:dyDescent="0.2">
      <c r="F35" s="65" t="s">
        <v>46</v>
      </c>
      <c r="G35" s="104">
        <f t="shared" ref="G35:U35" si="8">ROUND(AVERAGE(G28:G29),2)</f>
        <v>50.1</v>
      </c>
      <c r="H35" s="104">
        <f t="shared" si="8"/>
        <v>50.1</v>
      </c>
      <c r="I35" s="104">
        <f t="shared" si="8"/>
        <v>50.1</v>
      </c>
      <c r="J35" s="104">
        <f t="shared" si="8"/>
        <v>50.1</v>
      </c>
      <c r="K35" s="104">
        <f t="shared" si="8"/>
        <v>50.1</v>
      </c>
      <c r="L35" s="104">
        <f t="shared" si="8"/>
        <v>50.1</v>
      </c>
      <c r="M35" s="104">
        <f t="shared" si="8"/>
        <v>50.1</v>
      </c>
      <c r="N35" s="104">
        <f t="shared" si="8"/>
        <v>50.1</v>
      </c>
      <c r="O35" s="104">
        <f t="shared" si="8"/>
        <v>50.1</v>
      </c>
      <c r="P35" s="104">
        <f t="shared" si="8"/>
        <v>50.1</v>
      </c>
      <c r="Q35" s="104">
        <f t="shared" si="8"/>
        <v>85</v>
      </c>
      <c r="R35" s="104">
        <f t="shared" si="8"/>
        <v>85</v>
      </c>
      <c r="S35" s="104">
        <f t="shared" si="8"/>
        <v>85</v>
      </c>
      <c r="T35" s="104">
        <f t="shared" si="8"/>
        <v>85</v>
      </c>
      <c r="U35" s="104">
        <f t="shared" si="8"/>
        <v>85</v>
      </c>
    </row>
    <row r="36" spans="6:21" ht="15.75" customHeight="1" x14ac:dyDescent="0.2">
      <c r="G36" s="109"/>
    </row>
    <row r="38" spans="6:21" ht="51" customHeight="1" x14ac:dyDescent="0.2">
      <c r="F38" t="s">
        <v>130</v>
      </c>
      <c r="H38">
        <v>85</v>
      </c>
      <c r="I38" s="186" t="s">
        <v>149</v>
      </c>
      <c r="J38" s="186"/>
      <c r="K38" s="186"/>
      <c r="L38" s="186"/>
      <c r="M38" s="186"/>
      <c r="N38" s="186"/>
      <c r="O38" s="186"/>
      <c r="P38" s="186"/>
      <c r="Q38" s="186"/>
      <c r="R38" t="s">
        <v>150</v>
      </c>
    </row>
    <row r="39" spans="6:21" ht="54" customHeight="1" x14ac:dyDescent="0.2">
      <c r="F39" t="s">
        <v>133</v>
      </c>
      <c r="H39">
        <v>90</v>
      </c>
      <c r="I39" s="186" t="s">
        <v>149</v>
      </c>
      <c r="J39" s="186"/>
      <c r="K39" s="186"/>
      <c r="L39" s="186"/>
      <c r="M39" s="186"/>
      <c r="N39" s="186"/>
      <c r="O39" s="186"/>
      <c r="P39" s="186"/>
      <c r="Q39" s="186"/>
      <c r="R39" t="s">
        <v>150</v>
      </c>
    </row>
  </sheetData>
  <mergeCells count="10">
    <mergeCell ref="D1:F1"/>
    <mergeCell ref="A3:A7"/>
    <mergeCell ref="A8:A9"/>
    <mergeCell ref="A10:A11"/>
    <mergeCell ref="A12:A13"/>
    <mergeCell ref="A20:A24"/>
    <mergeCell ref="A26:A27"/>
    <mergeCell ref="A28:A29"/>
    <mergeCell ref="I38:Q38"/>
    <mergeCell ref="I39:Q3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5"/>
  <sheetViews>
    <sheetView zoomScale="80" zoomScaleNormal="80" workbookViewId="0">
      <selection activeCell="V12" sqref="V12"/>
    </sheetView>
  </sheetViews>
  <sheetFormatPr baseColWidth="10" defaultColWidth="10.6640625" defaultRowHeight="16" outlineLevelCol="1" x14ac:dyDescent="0.2"/>
  <cols>
    <col min="1" max="1" width="4.5" customWidth="1"/>
    <col min="2" max="2" width="45.33203125" customWidth="1"/>
    <col min="3" max="3" width="15.83203125" customWidth="1"/>
    <col min="4" max="18" width="15.83203125" hidden="1" customWidth="1" outlineLevel="1"/>
    <col min="19" max="19" width="12.6640625" customWidth="1" collapsed="1"/>
    <col min="20" max="20" width="14.83203125" customWidth="1"/>
    <col min="21" max="21" width="18.5" customWidth="1"/>
    <col min="22" max="22" width="18.33203125" customWidth="1"/>
    <col min="23" max="23" width="47.33203125" customWidth="1"/>
  </cols>
  <sheetData>
    <row r="1" spans="1:23" ht="84" customHeight="1" x14ac:dyDescent="0.2">
      <c r="A1" s="110" t="s">
        <v>151</v>
      </c>
      <c r="B1" s="111" t="s">
        <v>152</v>
      </c>
      <c r="C1" s="112" t="s">
        <v>153</v>
      </c>
      <c r="D1" s="112">
        <v>2027</v>
      </c>
      <c r="E1" s="112">
        <v>2028</v>
      </c>
      <c r="F1" s="112">
        <v>2029</v>
      </c>
      <c r="G1" s="112">
        <v>2030</v>
      </c>
      <c r="H1" s="112">
        <v>2031</v>
      </c>
      <c r="I1" s="112">
        <v>2032</v>
      </c>
      <c r="J1" s="112">
        <v>2033</v>
      </c>
      <c r="K1" s="112">
        <v>2034</v>
      </c>
      <c r="L1" s="112">
        <v>2035</v>
      </c>
      <c r="M1" s="112">
        <v>2036</v>
      </c>
      <c r="N1" s="112">
        <v>2037</v>
      </c>
      <c r="O1" s="112">
        <v>2038</v>
      </c>
      <c r="P1" s="112">
        <v>2039</v>
      </c>
      <c r="Q1" s="112">
        <v>2040</v>
      </c>
      <c r="R1" s="112">
        <v>2041</v>
      </c>
      <c r="S1" s="112" t="s">
        <v>154</v>
      </c>
      <c r="T1" s="112" t="s">
        <v>155</v>
      </c>
      <c r="U1" s="112" t="s">
        <v>156</v>
      </c>
      <c r="V1" s="112" t="s">
        <v>157</v>
      </c>
      <c r="W1" s="112" t="s">
        <v>158</v>
      </c>
    </row>
    <row r="2" spans="1:23" ht="15.75" customHeight="1" x14ac:dyDescent="0.2">
      <c r="A2" s="113">
        <v>1</v>
      </c>
      <c r="B2" s="114">
        <v>2</v>
      </c>
      <c r="C2" s="114">
        <v>3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>
        <v>4</v>
      </c>
      <c r="T2" s="114">
        <v>5</v>
      </c>
      <c r="U2" s="114">
        <v>6</v>
      </c>
      <c r="V2" s="114">
        <v>7</v>
      </c>
      <c r="W2" s="114">
        <v>8</v>
      </c>
    </row>
    <row r="3" spans="1:23" ht="15.75" customHeight="1" x14ac:dyDescent="0.2">
      <c r="A3" s="115"/>
      <c r="B3" s="116" t="s">
        <v>159</v>
      </c>
      <c r="C3" s="117">
        <f>SUM(C5,C8,C6)</f>
        <v>94221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8"/>
      <c r="T3" s="118"/>
      <c r="U3" s="118"/>
      <c r="V3" s="119">
        <f>SQRT((C5*V5)^2+(C8*V8)^2+(C6*V6)^2)/SUM(C3)</f>
        <v>5.3251915459338925E-2</v>
      </c>
      <c r="W3" s="120"/>
    </row>
    <row r="4" spans="1:23" ht="15.75" customHeight="1" x14ac:dyDescent="0.2">
      <c r="A4" s="121">
        <v>1</v>
      </c>
      <c r="B4" s="122" t="s">
        <v>160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4"/>
      <c r="T4" s="124"/>
      <c r="U4" s="124"/>
      <c r="V4" s="125"/>
      <c r="W4" s="126"/>
    </row>
    <row r="5" spans="1:23" ht="18" customHeight="1" x14ac:dyDescent="0.2">
      <c r="A5" s="127"/>
      <c r="B5" s="128" t="s">
        <v>161</v>
      </c>
      <c r="C5" s="129">
        <f>SUM(D5:R5)</f>
        <v>47735</v>
      </c>
      <c r="D5" s="129">
        <f>ROUNDDOWN(SUM('Расчетная модель БС BAU '!C12,'Расчетная модель БС BAU '!C24,'Расчетная модель БС BAU '!C49),2)</f>
        <v>3675</v>
      </c>
      <c r="E5" s="129">
        <f>ROUNDDOWN(SUM('Расчетная модель БС BAU '!D12,'Расчетная модель БС BAU '!D24,'Расчетная модель БС BAU '!D49),2)</f>
        <v>3675</v>
      </c>
      <c r="F5" s="129">
        <f>ROUNDDOWN(SUM('Расчетная модель БС BAU '!E12,'Расчетная модель БС BAU '!E24,'Расчетная модель БС BAU '!E49),2)</f>
        <v>3354</v>
      </c>
      <c r="G5" s="129">
        <f>ROUNDDOWN(SUM('Расчетная модель БС BAU '!F12,'Расчетная модель БС BAU '!F24,'Расчетная модель БС BAU '!F49),2)</f>
        <v>3354</v>
      </c>
      <c r="H5" s="129">
        <f>ROUNDDOWN(SUM('Расчетная модель БС BAU '!G12,'Расчетная модель БС BAU '!G24,'Расчетная модель БС BAU '!G49),2)</f>
        <v>3354</v>
      </c>
      <c r="I5" s="129">
        <f>ROUNDDOWN(SUM('Расчетная модель БС BAU '!H12,'Расчетная модель БС BAU '!H24,'Расчетная модель БС BAU '!H49),2)</f>
        <v>3354</v>
      </c>
      <c r="J5" s="129">
        <f>ROUNDDOWN(SUM('Расчетная модель БС BAU '!I12,'Расчетная модель БС BAU '!I24,'Расчетная модель БС BAU '!I49),2)</f>
        <v>3354</v>
      </c>
      <c r="K5" s="129">
        <f>ROUNDDOWN(SUM('Расчетная модель БС BAU '!J12,'Расчетная модель БС BAU '!J24,'Расчетная модель БС BAU '!J49),2)</f>
        <v>3354</v>
      </c>
      <c r="L5" s="129">
        <f>ROUNDDOWN(SUM('Расчетная модель БС BAU '!K12,'Расчетная модель БС BAU '!K24,'Расчетная модель БС BAU '!K49),2)</f>
        <v>3354</v>
      </c>
      <c r="M5" s="129">
        <f>ROUNDDOWN(SUM('Расчетная модель БС BAU '!L12,'Расчетная модель БС BAU '!L24,'Расчетная модель БС BAU '!L49),2)</f>
        <v>3354</v>
      </c>
      <c r="N5" s="129">
        <f>ROUNDDOWN(SUM('Расчетная модель БС BAU '!M12,'Расчетная модель БС BAU '!M24,'Расчетная модель БС BAU '!M49),2)</f>
        <v>2789</v>
      </c>
      <c r="O5" s="129">
        <f>ROUNDDOWN(SUM('Расчетная модель БС BAU '!N12,'Расчетная модель БС BAU '!N24,'Расчетная модель БС BAU '!N49),2)</f>
        <v>2691</v>
      </c>
      <c r="P5" s="129">
        <f>ROUNDDOWN(SUM('Расчетная модель БС BAU '!O12,'Расчетная модель БС BAU '!O24,'Расчетная модель БС BAU '!O49),2)</f>
        <v>2691</v>
      </c>
      <c r="Q5" s="129">
        <f>ROUNDDOWN(SUM('Расчетная модель БС BAU '!P12,'Расчетная модель БС BAU '!P24,'Расчетная модель БС BAU '!P49),2)</f>
        <v>2691</v>
      </c>
      <c r="R5" s="129">
        <f>ROUNDDOWN(SUM('Расчетная модель БС BAU '!Q12,'Расчетная модель БС BAU '!Q24,'Расчетная модель БС BAU '!Q49),2)</f>
        <v>2691</v>
      </c>
      <c r="S5" s="130">
        <v>0.05</v>
      </c>
      <c r="T5" s="130">
        <v>7.0000000000000007E-2</v>
      </c>
      <c r="U5" s="130">
        <f>SQRT(S5*S5+T5*T5)</f>
        <v>8.6023252670426278E-2</v>
      </c>
      <c r="V5" s="131">
        <f>SQRT((C5*U5)^2)/C5</f>
        <v>8.6023252670426265E-2</v>
      </c>
      <c r="W5" s="132" t="s">
        <v>162</v>
      </c>
    </row>
    <row r="6" spans="1:23" ht="18" customHeight="1" x14ac:dyDescent="0.2">
      <c r="A6" s="127"/>
      <c r="B6" s="128" t="s">
        <v>163</v>
      </c>
      <c r="C6" s="129">
        <f>SUM(D6:R6)</f>
        <v>16675</v>
      </c>
      <c r="D6" s="129">
        <f>ROUNDDOWN('Расчетная модель БС BAU '!C36,2)</f>
        <v>1281</v>
      </c>
      <c r="E6" s="129">
        <f>ROUNDDOWN('Расчетная модель БС BAU '!D36,2)</f>
        <v>1281</v>
      </c>
      <c r="F6" s="129">
        <f>ROUNDDOWN('Расчетная модель БС BAU '!E36,2)</f>
        <v>1281</v>
      </c>
      <c r="G6" s="129">
        <f>ROUNDDOWN('Расчетная модель БС BAU '!F36,2)</f>
        <v>1105</v>
      </c>
      <c r="H6" s="129">
        <f>ROUNDDOWN('Расчетная модель БС BAU '!G36,2)</f>
        <v>1105</v>
      </c>
      <c r="I6" s="129">
        <f>ROUNDDOWN('Расчетная модель БС BAU '!H36,2)</f>
        <v>1105</v>
      </c>
      <c r="J6" s="129">
        <f>ROUNDDOWN('Расчетная модель БС BAU '!I36,2)</f>
        <v>1105</v>
      </c>
      <c r="K6" s="129">
        <f>ROUNDDOWN('Расчетная модель БС BAU '!J36,2)</f>
        <v>1105</v>
      </c>
      <c r="L6" s="129">
        <f>ROUNDDOWN('Расчетная модель БС BAU '!K36,2)</f>
        <v>1105</v>
      </c>
      <c r="M6" s="129">
        <f>ROUNDDOWN('Расчетная модель БС BAU '!L36,2)</f>
        <v>1105</v>
      </c>
      <c r="N6" s="129">
        <f>ROUNDDOWN('Расчетная модель БС BAU '!M36,2)</f>
        <v>1105</v>
      </c>
      <c r="O6" s="129">
        <f>ROUNDDOWN('Расчетная модель БС BAU '!N36,2)</f>
        <v>998</v>
      </c>
      <c r="P6" s="129">
        <f>ROUNDDOWN('Расчетная модель БС BAU '!O36,2)</f>
        <v>998</v>
      </c>
      <c r="Q6" s="129">
        <f>ROUNDDOWN('Расчетная модель БС BAU '!P36,2)</f>
        <v>998</v>
      </c>
      <c r="R6" s="129">
        <f>ROUNDDOWN('Расчетная модель БС BAU '!Q36,2)</f>
        <v>998</v>
      </c>
      <c r="S6" s="130">
        <v>0.05</v>
      </c>
      <c r="T6" s="130">
        <v>6.1199999999999997E-2</v>
      </c>
      <c r="U6" s="130">
        <f>SQRT(S6*S6+T6*T6)</f>
        <v>7.9028096269617931E-2</v>
      </c>
      <c r="V6" s="131">
        <f>SQRT((C6*U6)^2)/C6</f>
        <v>7.9028096269617931E-2</v>
      </c>
      <c r="W6" s="132" t="s">
        <v>162</v>
      </c>
    </row>
    <row r="7" spans="1:23" ht="15.75" customHeight="1" x14ac:dyDescent="0.2">
      <c r="A7" s="121">
        <v>2</v>
      </c>
      <c r="B7" s="122" t="s">
        <v>164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30"/>
      <c r="T7" s="130"/>
      <c r="U7" s="130"/>
      <c r="V7" s="131"/>
      <c r="W7" s="132"/>
    </row>
    <row r="8" spans="1:23" ht="18" customHeight="1" x14ac:dyDescent="0.2">
      <c r="A8" s="127"/>
      <c r="B8" s="128" t="s">
        <v>165</v>
      </c>
      <c r="C8" s="129">
        <f>SUM(D8:R8)</f>
        <v>29811.000000000007</v>
      </c>
      <c r="D8" s="129">
        <f>ROUNDDOWN('Расчетная модель ПС '!C13*'Расчетная модель ПС '!C12+'Расчетная модель ПС '!C39*'Расчетная модель ПС '!C40+'Расчетная модель ПС '!C64*'Расчетная модель ПС '!C65+'Расчетная модель ПС '!C91*'Расчетная модель ПС '!C90,2)</f>
        <v>1987.4</v>
      </c>
      <c r="E8" s="129">
        <f>ROUNDDOWN('Расчетная модель ПС '!D13*'Расчетная модель ПС '!D12+'Расчетная модель ПС '!D39*'Расчетная модель ПС '!D40+'Расчетная модель ПС '!D64*'Расчетная модель ПС '!D65+'Расчетная модель ПС '!D91*'Расчетная модель ПС '!D90,2)</f>
        <v>1987.4</v>
      </c>
      <c r="F8" s="129">
        <f>ROUNDDOWN('Расчетная модель ПС '!E13*'Расчетная модель ПС '!E12+'Расчетная модель ПС '!E39*'Расчетная модель ПС '!E40+'Расчетная модель ПС '!E64*'Расчетная модель ПС '!E65+'Расчетная модель ПС '!E91*'Расчетная модель ПС '!E90,2)</f>
        <v>1987.4</v>
      </c>
      <c r="G8" s="129">
        <f>ROUNDDOWN('Расчетная модель ПС '!F13*'Расчетная модель ПС '!F12+'Расчетная модель ПС '!F39*'Расчетная модель ПС '!F40+'Расчетная модель ПС '!F64*'Расчетная модель ПС '!F65+'Расчетная модель ПС '!F91*'Расчетная модель ПС '!F90,2)</f>
        <v>1987.4</v>
      </c>
      <c r="H8" s="129">
        <f>ROUNDDOWN('Расчетная модель ПС '!G13*'Расчетная модель ПС '!G12+'Расчетная модель ПС '!G39*'Расчетная модель ПС '!G40+'Расчетная модель ПС '!G64*'Расчетная модель ПС '!G65+'Расчетная модель ПС '!G91*'Расчетная модель ПС '!G90,2)</f>
        <v>1987.4</v>
      </c>
      <c r="I8" s="129">
        <f>ROUNDDOWN('Расчетная модель ПС '!H13*'Расчетная модель ПС '!H12+'Расчетная модель ПС '!H39*'Расчетная модель ПС '!H40+'Расчетная модель ПС '!H64*'Расчетная модель ПС '!H65+'Расчетная модель ПС '!H91*'Расчетная модель ПС '!H90,2)</f>
        <v>1987.4</v>
      </c>
      <c r="J8" s="129">
        <f>ROUNDDOWN('Расчетная модель ПС '!I13*'Расчетная модель ПС '!I12+'Расчетная модель ПС '!I39*'Расчетная модель ПС '!I40+'Расчетная модель ПС '!I64*'Расчетная модель ПС '!I65+'Расчетная модель ПС '!I91*'Расчетная модель ПС '!I90,2)</f>
        <v>1987.4</v>
      </c>
      <c r="K8" s="129">
        <f>ROUNDDOWN('Расчетная модель ПС '!J13*'Расчетная модель ПС '!J12+'Расчетная модель ПС '!J39*'Расчетная модель ПС '!J40+'Расчетная модель ПС '!J64*'Расчетная модель ПС '!J65+'Расчетная модель ПС '!J91*'Расчетная модель ПС '!J90,2)</f>
        <v>1987.4</v>
      </c>
      <c r="L8" s="129">
        <f>ROUNDDOWN('Расчетная модель ПС '!K13*'Расчетная модель ПС '!K12+'Расчетная модель ПС '!K39*'Расчетная модель ПС '!K40+'Расчетная модель ПС '!K64*'Расчетная модель ПС '!K65+'Расчетная модель ПС '!K91*'Расчетная модель ПС '!K90,2)</f>
        <v>1987.4</v>
      </c>
      <c r="M8" s="129">
        <f>ROUNDDOWN('Расчетная модель ПС '!L13*'Расчетная модель ПС '!L12+'Расчетная модель ПС '!L39*'Расчетная модель ПС '!L40+'Расчетная модель ПС '!L64*'Расчетная модель ПС '!L65+'Расчетная модель ПС '!L91*'Расчетная модель ПС '!L90,2)</f>
        <v>1987.4</v>
      </c>
      <c r="N8" s="129">
        <f>ROUNDDOWN('Расчетная модель ПС '!M13*'Расчетная модель ПС '!M12+'Расчетная модель ПС '!M39*'Расчетная модель ПС '!M40+'Расчетная модель ПС '!M64*'Расчетная модель ПС '!M65+'Расчетная модель ПС '!M91*'Расчетная модель ПС '!M90,2)</f>
        <v>1987.4</v>
      </c>
      <c r="O8" s="129">
        <f>ROUNDDOWN('Расчетная модель ПС '!N13*'Расчетная модель ПС '!N12+'Расчетная модель ПС '!N39*'Расчетная модель ПС '!N40+'Расчетная модель ПС '!N64*'Расчетная модель ПС '!N65+'Расчетная модель ПС '!N91*'Расчетная модель ПС '!N90,2)</f>
        <v>1987.4</v>
      </c>
      <c r="P8" s="129">
        <f>ROUNDDOWN('Расчетная модель ПС '!O13*'Расчетная модель ПС '!O12+'Расчетная модель ПС '!O39*'Расчетная модель ПС '!O40+'Расчетная модель ПС '!O64*'Расчетная модель ПС '!O65+'Расчетная модель ПС '!O91*'Расчетная модель ПС '!O90,2)</f>
        <v>1987.4</v>
      </c>
      <c r="Q8" s="129">
        <f>ROUNDDOWN('Расчетная модель ПС '!P13*'Расчетная модель ПС '!P12+'Расчетная модель ПС '!P39*'Расчетная модель ПС '!P40+'Расчетная модель ПС '!P64*'Расчетная модель ПС '!P65+'Расчетная модель ПС '!P91*'Расчетная модель ПС '!P90,2)</f>
        <v>1987.4</v>
      </c>
      <c r="R8" s="129">
        <f>ROUNDDOWN('Расчетная модель ПС '!Q13*'Расчетная модель ПС '!Q12+'Расчетная модель ПС '!Q39*'Расчетная модель ПС '!Q40+'Расчетная модель ПС '!Q64*'Расчетная модель ПС '!Q65+'Расчетная модель ПС '!Q91*'Расчетная модель ПС '!Q90,2)</f>
        <v>1987.4</v>
      </c>
      <c r="S8" s="130">
        <v>0.05</v>
      </c>
      <c r="T8" s="130">
        <v>7.0000000000000007E-2</v>
      </c>
      <c r="U8" s="130">
        <f>SQRT(S8*S8+T8*T8)</f>
        <v>8.6023252670426278E-2</v>
      </c>
      <c r="V8" s="131">
        <f>SQRT((C8*U8)^2)/C8</f>
        <v>8.6023252670426278E-2</v>
      </c>
      <c r="W8" s="132" t="s">
        <v>162</v>
      </c>
    </row>
    <row r="9" spans="1:23" ht="15.75" customHeight="1" x14ac:dyDescent="0.2">
      <c r="A9" s="115"/>
      <c r="B9" s="116" t="s">
        <v>166</v>
      </c>
      <c r="C9" s="117">
        <f>C11</f>
        <v>1399.7999999999995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33"/>
      <c r="T9" s="133"/>
      <c r="U9" s="119"/>
      <c r="V9" s="119">
        <f>SQRT((C11*V11)^2)/SUM(C9)</f>
        <v>8.6023252670426278E-2</v>
      </c>
      <c r="W9" s="134"/>
    </row>
    <row r="10" spans="1:23" ht="27.75" customHeight="1" x14ac:dyDescent="0.2">
      <c r="A10" s="121">
        <v>3</v>
      </c>
      <c r="B10" s="135" t="s">
        <v>167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7"/>
      <c r="T10" s="137"/>
      <c r="U10" s="131"/>
      <c r="V10" s="131"/>
      <c r="W10" s="132"/>
    </row>
    <row r="11" spans="1:23" ht="139.5" customHeight="1" x14ac:dyDescent="0.2">
      <c r="A11" s="127"/>
      <c r="B11" s="128" t="s">
        <v>168</v>
      </c>
      <c r="C11" s="129">
        <f>SUM(D11:R11)</f>
        <v>1399.7999999999995</v>
      </c>
      <c r="D11" s="129">
        <f>ROUNDDOWN('Расчетная модель ПС '!C15*'Расчетная модель ПС '!C16+'Расчетная модель ПС '!C42*'Расчетная модель ПС '!C43+'Расчетная модель ПС '!C67*'Расчетная модель ПС '!C68+'Расчетная модель ПС '!C93*'Расчетная модель ПС '!C94,2)</f>
        <v>93.32</v>
      </c>
      <c r="E11" s="129">
        <f>ROUNDDOWN('Расчетная модель ПС '!D15*'Расчетная модель ПС '!D16+'Расчетная модель ПС '!D42*'Расчетная модель ПС '!D43+'Расчетная модель ПС '!D67*'Расчетная модель ПС '!D68+'Расчетная модель ПС '!D93*'Расчетная модель ПС '!D94,2)</f>
        <v>93.32</v>
      </c>
      <c r="F11" s="129">
        <f>ROUNDDOWN('Расчетная модель ПС '!E15*'Расчетная модель ПС '!E16+'Расчетная модель ПС '!E42*'Расчетная модель ПС '!E43+'Расчетная модель ПС '!E67*'Расчетная модель ПС '!E68+'Расчетная модель ПС '!E93*'Расчетная модель ПС '!E94,2)</f>
        <v>93.32</v>
      </c>
      <c r="G11" s="129">
        <f>ROUNDDOWN('Расчетная модель ПС '!F15*'Расчетная модель ПС '!F16+'Расчетная модель ПС '!F42*'Расчетная модель ПС '!F43+'Расчетная модель ПС '!F67*'Расчетная модель ПС '!F68+'Расчетная модель ПС '!F93*'Расчетная модель ПС '!F94,2)</f>
        <v>93.32</v>
      </c>
      <c r="H11" s="129">
        <f>ROUNDDOWN('Расчетная модель ПС '!G15*'Расчетная модель ПС '!G16+'Расчетная модель ПС '!G42*'Расчетная модель ПС '!G43+'Расчетная модель ПС '!G67*'Расчетная модель ПС '!G68+'Расчетная модель ПС '!G93*'Расчетная модель ПС '!G94,2)</f>
        <v>93.32</v>
      </c>
      <c r="I11" s="129">
        <f>ROUNDDOWN('Расчетная модель ПС '!H15*'Расчетная модель ПС '!H16+'Расчетная модель ПС '!H42*'Расчетная модель ПС '!H43+'Расчетная модель ПС '!H67*'Расчетная модель ПС '!H68+'Расчетная модель ПС '!H93*'Расчетная модель ПС '!H94,2)</f>
        <v>93.32</v>
      </c>
      <c r="J11" s="129">
        <f>ROUNDDOWN('Расчетная модель ПС '!I15*'Расчетная модель ПС '!I16+'Расчетная модель ПС '!I42*'Расчетная модель ПС '!I43+'Расчетная модель ПС '!I67*'Расчетная модель ПС '!I68+'Расчетная модель ПС '!I93*'Расчетная модель ПС '!I94,2)</f>
        <v>93.32</v>
      </c>
      <c r="K11" s="129">
        <f>ROUNDDOWN('Расчетная модель ПС '!J15*'Расчетная модель ПС '!J16+'Расчетная модель ПС '!J42*'Расчетная модель ПС '!J43+'Расчетная модель ПС '!J67*'Расчетная модель ПС '!J68+'Расчетная модель ПС '!J93*'Расчетная модель ПС '!J94,2)</f>
        <v>93.32</v>
      </c>
      <c r="L11" s="129">
        <f>ROUNDDOWN('Расчетная модель ПС '!K15*'Расчетная модель ПС '!K16+'Расчетная модель ПС '!K42*'Расчетная модель ПС '!K43+'Расчетная модель ПС '!K67*'Расчетная модель ПС '!K68+'Расчетная модель ПС '!K93*'Расчетная модель ПС '!K94,2)</f>
        <v>93.32</v>
      </c>
      <c r="M11" s="129">
        <f>ROUNDDOWN('Расчетная модель ПС '!L15*'Расчетная модель ПС '!L16+'Расчетная модель ПС '!L42*'Расчетная модель ПС '!L43+'Расчетная модель ПС '!L67*'Расчетная модель ПС '!L68+'Расчетная модель ПС '!L93*'Расчетная модель ПС '!L94,2)</f>
        <v>93.32</v>
      </c>
      <c r="N11" s="129">
        <f>ROUNDDOWN('Расчетная модель ПС '!M15*'Расчетная модель ПС '!M16+'Расчетная модель ПС '!M42*'Расчетная модель ПС '!M43+'Расчетная модель ПС '!M67*'Расчетная модель ПС '!M68+'Расчетная модель ПС '!M93*'Расчетная модель ПС '!M94,2)</f>
        <v>93.32</v>
      </c>
      <c r="O11" s="129">
        <f>ROUNDDOWN('Расчетная модель ПС '!N15*'Расчетная модель ПС '!N16+'Расчетная модель ПС '!N42*'Расчетная модель ПС '!N43+'Расчетная модель ПС '!N67*'Расчетная модель ПС '!N68+'Расчетная модель ПС '!N93*'Расчетная модель ПС '!N94,2)</f>
        <v>93.32</v>
      </c>
      <c r="P11" s="129">
        <f>ROUNDDOWN('Расчетная модель ПС '!O15*'Расчетная модель ПС '!O16+'Расчетная модель ПС '!O42*'Расчетная модель ПС '!O43+'Расчетная модель ПС '!O67*'Расчетная модель ПС '!O68+'Расчетная модель ПС '!O93*'Расчетная модель ПС '!O94,2)</f>
        <v>93.32</v>
      </c>
      <c r="Q11" s="129">
        <f>ROUNDDOWN('Расчетная модель ПС '!P15*'Расчетная модель ПС '!P16+'Расчетная модель ПС '!P42*'Расчетная модель ПС '!P43+'Расчетная модель ПС '!P67*'Расчетная модель ПС '!P68+'Расчетная модель ПС '!P93*'Расчетная модель ПС '!P94,2)</f>
        <v>93.32</v>
      </c>
      <c r="R11" s="129">
        <f>ROUNDDOWN('Расчетная модель ПС '!Q15*'Расчетная модель ПС '!Q16+'Расчетная модель ПС '!Q42*'Расчетная модель ПС '!Q43+'Расчетная модель ПС '!Q67*'Расчетная модель ПС '!Q68+'Расчетная модель ПС '!Q93*'Расчетная модель ПС '!Q94,2)</f>
        <v>93.32</v>
      </c>
      <c r="S11" s="130">
        <v>0.05</v>
      </c>
      <c r="T11" s="130">
        <v>7.0000000000000007E-2</v>
      </c>
      <c r="U11" s="130">
        <f>SQRT(S11*S11+T11*T11)</f>
        <v>8.6023252670426278E-2</v>
      </c>
      <c r="V11" s="131">
        <f>SQRT((C11*U11)^2)/C11</f>
        <v>8.6023252670426278E-2</v>
      </c>
      <c r="W11" s="138" t="s">
        <v>169</v>
      </c>
    </row>
    <row r="12" spans="1:23" ht="51" customHeight="1" x14ac:dyDescent="0.2">
      <c r="A12" s="187" t="s">
        <v>170</v>
      </c>
      <c r="B12" s="187"/>
      <c r="C12" s="139">
        <f>C5+C6+C8+C11</f>
        <v>95620.800000000003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40"/>
      <c r="T12" s="140"/>
      <c r="U12" s="140"/>
      <c r="V12" s="141">
        <f>ROUND(SQRT(SUMSQ(C5*V5,C8*V8,C9*V9,V6*C6))/C12,3)</f>
        <v>5.1999999999999998E-2</v>
      </c>
      <c r="W12" s="142"/>
    </row>
    <row r="13" spans="1:23" ht="15.75" customHeight="1" x14ac:dyDescent="0.2">
      <c r="U13" t="s">
        <v>9</v>
      </c>
      <c r="V13" t="s">
        <v>171</v>
      </c>
    </row>
    <row r="15" spans="1:23" ht="15.75" customHeight="1" x14ac:dyDescent="0.2">
      <c r="V15" s="143"/>
    </row>
  </sheetData>
  <mergeCells count="1">
    <mergeCell ref="A12:B1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topLeftCell="A2" zoomScaleNormal="100" workbookViewId="0">
      <selection activeCell="F13" sqref="F13"/>
    </sheetView>
  </sheetViews>
  <sheetFormatPr baseColWidth="10" defaultColWidth="10.83203125" defaultRowHeight="16" x14ac:dyDescent="0.2"/>
  <cols>
    <col min="1" max="16384" width="10.83203125" style="144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Z11"/>
  <sheetViews>
    <sheetView zoomScale="70" zoomScaleNormal="70" workbookViewId="0">
      <selection activeCell="P23" sqref="P23"/>
    </sheetView>
  </sheetViews>
  <sheetFormatPr baseColWidth="10" defaultColWidth="10.83203125" defaultRowHeight="16" x14ac:dyDescent="0.2"/>
  <cols>
    <col min="1" max="1" width="5.33203125" style="16" customWidth="1"/>
    <col min="2" max="2" width="13.1640625" style="16" customWidth="1"/>
    <col min="3" max="4" width="17" style="16" customWidth="1"/>
    <col min="5" max="6" width="10.83203125" style="16"/>
    <col min="7" max="9" width="11.1640625" style="16" customWidth="1"/>
    <col min="10" max="10" width="12.33203125" style="16" customWidth="1"/>
    <col min="11" max="11" width="8.83203125" style="16" customWidth="1"/>
    <col min="12" max="17" width="10.83203125" style="16"/>
    <col min="18" max="18" width="13" style="16" customWidth="1"/>
    <col min="19" max="16384" width="10.83203125" style="16"/>
  </cols>
  <sheetData>
    <row r="3" spans="1:26" s="145" customFormat="1" ht="18" customHeight="1" x14ac:dyDescent="0.2">
      <c r="A3" s="188" t="s">
        <v>172</v>
      </c>
      <c r="B3" s="188" t="s">
        <v>173</v>
      </c>
      <c r="C3" s="188" t="s">
        <v>174</v>
      </c>
      <c r="D3" s="188" t="s">
        <v>175</v>
      </c>
      <c r="E3" s="188" t="s">
        <v>176</v>
      </c>
      <c r="F3" s="188" t="s">
        <v>177</v>
      </c>
      <c r="G3" s="188" t="s">
        <v>178</v>
      </c>
      <c r="H3" s="188" t="s">
        <v>179</v>
      </c>
      <c r="I3" s="188" t="s">
        <v>180</v>
      </c>
      <c r="J3" s="188" t="s">
        <v>181</v>
      </c>
      <c r="K3" s="188" t="s">
        <v>3</v>
      </c>
      <c r="L3" s="188" t="s">
        <v>182</v>
      </c>
      <c r="M3" s="189" t="s">
        <v>183</v>
      </c>
      <c r="N3" s="189"/>
      <c r="O3" s="189"/>
      <c r="P3" s="189"/>
      <c r="Q3" s="189"/>
      <c r="R3" s="189"/>
      <c r="S3" s="189"/>
      <c r="T3" s="188" t="s">
        <v>184</v>
      </c>
      <c r="U3" s="188"/>
      <c r="V3" s="188"/>
      <c r="W3" s="188"/>
      <c r="X3" s="188"/>
      <c r="Y3" s="188"/>
      <c r="Z3" s="188"/>
    </row>
    <row r="4" spans="1:26" s="145" customFormat="1" ht="96" customHeight="1" x14ac:dyDescent="0.2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46" t="s">
        <v>185</v>
      </c>
      <c r="N4" s="146" t="s">
        <v>186</v>
      </c>
      <c r="O4" s="146" t="s">
        <v>187</v>
      </c>
      <c r="P4" s="146" t="s">
        <v>188</v>
      </c>
      <c r="Q4" s="146" t="s">
        <v>189</v>
      </c>
      <c r="R4" s="146" t="s">
        <v>190</v>
      </c>
      <c r="S4" s="146" t="s">
        <v>191</v>
      </c>
      <c r="T4" s="146" t="s">
        <v>185</v>
      </c>
      <c r="U4" s="146" t="s">
        <v>186</v>
      </c>
      <c r="V4" s="146" t="s">
        <v>187</v>
      </c>
      <c r="W4" s="146" t="s">
        <v>188</v>
      </c>
      <c r="X4" s="146" t="s">
        <v>189</v>
      </c>
      <c r="Y4" s="146" t="s">
        <v>190</v>
      </c>
      <c r="Z4" s="146" t="s">
        <v>191</v>
      </c>
    </row>
    <row r="5" spans="1:26" s="145" customFormat="1" ht="67.5" customHeight="1" x14ac:dyDescent="0.2">
      <c r="A5" s="2">
        <v>1</v>
      </c>
      <c r="B5" s="1" t="s">
        <v>192</v>
      </c>
      <c r="C5" s="2" t="s">
        <v>193</v>
      </c>
      <c r="D5" s="2" t="s">
        <v>194</v>
      </c>
      <c r="E5" s="2">
        <v>116</v>
      </c>
      <c r="F5" s="2">
        <v>32.200000000000003</v>
      </c>
      <c r="G5" s="147">
        <f>'Расчетная модель ПС '!C5/22.5/('Расчетная модель ПС '!C8/100)+'Расчетная модель ПС '!C31/22.5/('Расчетная модель ПС '!C34/100)+'Расчетная модель ПС '!C82/22.5/('Расчетная модель ПС '!C85/100)</f>
        <v>1711.5576621997438</v>
      </c>
      <c r="H5" s="148">
        <f>ROUNDUP(G5/F5,0)</f>
        <v>54</v>
      </c>
      <c r="I5" s="148">
        <f>H5*E5</f>
        <v>6264</v>
      </c>
      <c r="J5" s="2" t="s">
        <v>195</v>
      </c>
      <c r="K5" s="2" t="s">
        <v>196</v>
      </c>
      <c r="L5" s="1" t="s">
        <v>197</v>
      </c>
      <c r="M5" s="146">
        <v>0.65</v>
      </c>
      <c r="N5" s="146">
        <v>1.9</v>
      </c>
      <c r="O5" s="146">
        <v>0.02</v>
      </c>
      <c r="P5" s="146">
        <v>0.158</v>
      </c>
      <c r="Q5" s="146">
        <v>3.0000000000000001E-3</v>
      </c>
      <c r="R5" s="146">
        <v>6.7000000000000004E-2</v>
      </c>
      <c r="S5" s="146">
        <v>3.0000000000000001E-3</v>
      </c>
      <c r="T5" s="148">
        <f t="shared" ref="T5:Z6" si="0">M5*$I$5</f>
        <v>4071.6000000000004</v>
      </c>
      <c r="U5" s="148">
        <f t="shared" si="0"/>
        <v>11901.599999999999</v>
      </c>
      <c r="V5" s="148">
        <f t="shared" si="0"/>
        <v>125.28</v>
      </c>
      <c r="W5" s="148">
        <f t="shared" si="0"/>
        <v>989.71199999999999</v>
      </c>
      <c r="X5" s="148">
        <f t="shared" si="0"/>
        <v>18.792000000000002</v>
      </c>
      <c r="Y5" s="148">
        <f t="shared" si="0"/>
        <v>419.68800000000005</v>
      </c>
      <c r="Z5" s="148">
        <f t="shared" si="0"/>
        <v>18.792000000000002</v>
      </c>
    </row>
    <row r="6" spans="1:26" s="145" customFormat="1" ht="67.5" customHeight="1" x14ac:dyDescent="0.2">
      <c r="A6" s="2">
        <v>2</v>
      </c>
      <c r="B6" s="1" t="s">
        <v>198</v>
      </c>
      <c r="C6" s="2" t="s">
        <v>199</v>
      </c>
      <c r="D6" s="2" t="s">
        <v>194</v>
      </c>
      <c r="E6" s="2">
        <v>143</v>
      </c>
      <c r="F6" s="2">
        <f>25*0.9</f>
        <v>22.5</v>
      </c>
      <c r="G6" s="149">
        <f>'Расчетная модель ПС '!C57/40.2/('Расчетная модель ПС '!C60/100)</f>
        <v>411.71671860069887</v>
      </c>
      <c r="H6" s="148">
        <f>ROUNDUP(G6/F6,0)</f>
        <v>19</v>
      </c>
      <c r="I6" s="148">
        <f>H6*E6</f>
        <v>2717</v>
      </c>
      <c r="J6" s="2" t="s">
        <v>200</v>
      </c>
      <c r="K6" s="2" t="s">
        <v>196</v>
      </c>
      <c r="L6" s="1" t="s">
        <v>201</v>
      </c>
      <c r="M6" s="2">
        <v>0.9</v>
      </c>
      <c r="N6" s="2">
        <v>4.2</v>
      </c>
      <c r="O6" s="2">
        <v>0.1</v>
      </c>
      <c r="P6" s="2">
        <v>0.158</v>
      </c>
      <c r="Q6" s="2">
        <v>3.0000000000000001E-3</v>
      </c>
      <c r="R6" s="2">
        <v>0.44600000000000001</v>
      </c>
      <c r="S6" s="2">
        <v>3.0000000000000001E-3</v>
      </c>
      <c r="T6" s="148">
        <f t="shared" si="0"/>
        <v>5637.6</v>
      </c>
      <c r="U6" s="148">
        <f t="shared" si="0"/>
        <v>26308.800000000003</v>
      </c>
      <c r="V6" s="148">
        <f t="shared" si="0"/>
        <v>626.40000000000009</v>
      </c>
      <c r="W6" s="148">
        <f t="shared" si="0"/>
        <v>989.71199999999999</v>
      </c>
      <c r="X6" s="148">
        <f t="shared" si="0"/>
        <v>18.792000000000002</v>
      </c>
      <c r="Y6" s="148">
        <f t="shared" si="0"/>
        <v>2793.7440000000001</v>
      </c>
      <c r="Z6" s="148">
        <f t="shared" si="0"/>
        <v>18.792000000000002</v>
      </c>
    </row>
    <row r="7" spans="1:26" ht="15.75" customHeight="1" x14ac:dyDescent="0.2">
      <c r="G7" s="150"/>
    </row>
    <row r="9" spans="1:26" ht="19.5" customHeight="1" x14ac:dyDescent="0.2">
      <c r="B9" s="15" t="s">
        <v>202</v>
      </c>
      <c r="M9" s="151"/>
    </row>
    <row r="10" spans="1:26" ht="15.75" customHeight="1" x14ac:dyDescent="0.2">
      <c r="B10" s="15" t="s">
        <v>203</v>
      </c>
    </row>
    <row r="11" spans="1:26" ht="15.75" customHeight="1" x14ac:dyDescent="0.2">
      <c r="B11" s="15" t="s">
        <v>204</v>
      </c>
    </row>
  </sheetData>
  <mergeCells count="14">
    <mergeCell ref="A3:A4"/>
    <mergeCell ref="B3:B4"/>
    <mergeCell ref="C3:C4"/>
    <mergeCell ref="D3:D4"/>
    <mergeCell ref="E3:E4"/>
    <mergeCell ref="K3:K4"/>
    <mergeCell ref="L3:L4"/>
    <mergeCell ref="M3:S3"/>
    <mergeCell ref="T3:Z3"/>
    <mergeCell ref="F3:F4"/>
    <mergeCell ref="G3:G4"/>
    <mergeCell ref="H3:H4"/>
    <mergeCell ref="I3:I4"/>
    <mergeCell ref="J3:J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K24"/>
  <sheetViews>
    <sheetView zoomScaleNormal="100" workbookViewId="0">
      <selection activeCell="A2" sqref="A2"/>
    </sheetView>
  </sheetViews>
  <sheetFormatPr baseColWidth="10" defaultColWidth="9.1640625" defaultRowHeight="15" x14ac:dyDescent="0.2"/>
  <cols>
    <col min="1" max="1" width="7.83203125" style="152" customWidth="1"/>
    <col min="2" max="2" width="5.6640625" style="152" customWidth="1"/>
    <col min="3" max="3" width="8.6640625" style="152" customWidth="1"/>
    <col min="4" max="4" width="6.83203125" style="152" customWidth="1"/>
    <col min="5" max="25" width="5.6640625" style="152" customWidth="1"/>
    <col min="26" max="26" width="6" style="152" customWidth="1"/>
    <col min="27" max="27" width="13.83203125" style="152" customWidth="1"/>
    <col min="28" max="37" width="6.6640625" style="152" customWidth="1"/>
    <col min="38" max="16384" width="9.1640625" style="152"/>
  </cols>
  <sheetData>
    <row r="1" spans="1:37" ht="21.75" customHeight="1" x14ac:dyDescent="0.25">
      <c r="A1" s="190" t="s">
        <v>205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</row>
    <row r="2" spans="1:37" ht="12.75" customHeight="1" x14ac:dyDescent="0.25">
      <c r="A2" s="153" t="s">
        <v>206</v>
      </c>
      <c r="B2" s="154"/>
      <c r="C2" s="154"/>
      <c r="D2" s="154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</row>
    <row r="3" spans="1:37" ht="15" customHeight="1" x14ac:dyDescent="0.2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AA3" s="157"/>
      <c r="AB3" s="157"/>
      <c r="AC3" s="157"/>
      <c r="AD3" s="157"/>
      <c r="AE3" s="157"/>
      <c r="AI3" s="157" t="s">
        <v>207</v>
      </c>
    </row>
    <row r="4" spans="1:37" ht="15" customHeight="1" x14ac:dyDescent="0.2">
      <c r="A4" s="158"/>
      <c r="B4" s="159">
        <v>1991</v>
      </c>
      <c r="C4" s="159">
        <v>1992</v>
      </c>
      <c r="D4" s="159">
        <v>1993</v>
      </c>
      <c r="E4" s="159">
        <v>1994</v>
      </c>
      <c r="F4" s="159">
        <v>1995</v>
      </c>
      <c r="G4" s="159">
        <v>1996</v>
      </c>
      <c r="H4" s="159">
        <v>1997</v>
      </c>
      <c r="I4" s="159">
        <v>1998</v>
      </c>
      <c r="J4" s="159">
        <v>1999</v>
      </c>
      <c r="K4" s="159">
        <v>2000</v>
      </c>
      <c r="L4" s="159">
        <v>2001</v>
      </c>
      <c r="M4" s="159">
        <v>2002</v>
      </c>
      <c r="N4" s="159">
        <v>2003</v>
      </c>
      <c r="O4" s="159">
        <v>2004</v>
      </c>
      <c r="P4" s="159">
        <v>2005</v>
      </c>
      <c r="Q4" s="159">
        <v>2006</v>
      </c>
      <c r="R4" s="159">
        <v>2007</v>
      </c>
      <c r="S4" s="159">
        <v>2008</v>
      </c>
      <c r="T4" s="159">
        <v>2009</v>
      </c>
      <c r="U4" s="159">
        <v>2010</v>
      </c>
      <c r="V4" s="159">
        <v>2011</v>
      </c>
      <c r="W4" s="159">
        <v>2012</v>
      </c>
      <c r="X4" s="159">
        <v>2013</v>
      </c>
      <c r="Y4" s="159">
        <v>2014</v>
      </c>
      <c r="Z4" s="159">
        <v>2015</v>
      </c>
      <c r="AA4" s="159">
        <v>2016</v>
      </c>
      <c r="AB4" s="159">
        <v>2017</v>
      </c>
      <c r="AC4" s="159">
        <v>2018</v>
      </c>
      <c r="AD4" s="159">
        <v>2019</v>
      </c>
      <c r="AE4" s="159">
        <v>2020</v>
      </c>
      <c r="AF4" s="159">
        <v>2021</v>
      </c>
      <c r="AG4" s="159">
        <v>2022</v>
      </c>
      <c r="AH4" s="159">
        <v>2023</v>
      </c>
      <c r="AI4" s="159">
        <v>2024</v>
      </c>
      <c r="AJ4" s="159">
        <v>2025</v>
      </c>
      <c r="AK4" s="159">
        <v>2026</v>
      </c>
    </row>
    <row r="5" spans="1:37" ht="15" customHeight="1" x14ac:dyDescent="0.2">
      <c r="A5" s="191" t="s">
        <v>208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</row>
    <row r="6" spans="1:37" ht="15" customHeight="1" x14ac:dyDescent="0.2">
      <c r="A6" s="160" t="s">
        <v>209</v>
      </c>
      <c r="B6" s="161">
        <v>103.2</v>
      </c>
      <c r="C6" s="161">
        <v>230</v>
      </c>
      <c r="D6" s="161">
        <v>150</v>
      </c>
      <c r="E6" s="161">
        <v>137.72</v>
      </c>
      <c r="F6" s="161">
        <v>122.68</v>
      </c>
      <c r="G6" s="161">
        <v>108.05</v>
      </c>
      <c r="H6" s="161">
        <v>102.34</v>
      </c>
      <c r="I6" s="161">
        <v>101.65</v>
      </c>
      <c r="J6" s="161">
        <v>104.13</v>
      </c>
      <c r="K6" s="161">
        <v>103.37</v>
      </c>
      <c r="L6" s="161">
        <v>104.63</v>
      </c>
      <c r="M6" s="161">
        <v>107.47</v>
      </c>
      <c r="N6" s="161">
        <v>104.42</v>
      </c>
      <c r="O6" s="161">
        <v>104.13</v>
      </c>
      <c r="P6" s="161">
        <v>108.78</v>
      </c>
      <c r="Q6" s="161">
        <v>106.17</v>
      </c>
      <c r="R6" s="161">
        <v>104.71</v>
      </c>
      <c r="S6" s="161">
        <v>105.4</v>
      </c>
      <c r="T6" s="161">
        <v>106.32</v>
      </c>
      <c r="U6" s="161">
        <v>103.94</v>
      </c>
      <c r="V6" s="161">
        <v>104.09</v>
      </c>
      <c r="W6" s="161">
        <v>100.2</v>
      </c>
      <c r="X6" s="161">
        <v>100.64</v>
      </c>
      <c r="Y6" s="161">
        <v>100.47</v>
      </c>
      <c r="Z6" s="161">
        <v>102.16</v>
      </c>
      <c r="AA6" s="161">
        <v>101.03</v>
      </c>
      <c r="AB6" s="162">
        <v>100.51</v>
      </c>
      <c r="AC6" s="161">
        <v>100.08</v>
      </c>
      <c r="AD6" s="163">
        <v>101.13</v>
      </c>
      <c r="AE6" s="163">
        <v>100.24</v>
      </c>
      <c r="AF6" s="163">
        <v>100.38</v>
      </c>
      <c r="AG6" s="163">
        <v>100.76</v>
      </c>
      <c r="AH6" s="163">
        <v>101.01</v>
      </c>
      <c r="AI6" s="163">
        <v>100.78</v>
      </c>
      <c r="AJ6" s="163">
        <v>102.07</v>
      </c>
      <c r="AK6" s="163">
        <v>102.33</v>
      </c>
    </row>
    <row r="7" spans="1:37" ht="15" customHeight="1" x14ac:dyDescent="0.2">
      <c r="A7" s="160" t="s">
        <v>210</v>
      </c>
      <c r="B7" s="161">
        <v>105.2</v>
      </c>
      <c r="C7" s="161">
        <v>140</v>
      </c>
      <c r="D7" s="161">
        <v>132</v>
      </c>
      <c r="E7" s="161">
        <v>121.52</v>
      </c>
      <c r="F7" s="161">
        <v>119.34</v>
      </c>
      <c r="G7" s="161">
        <v>105.64</v>
      </c>
      <c r="H7" s="161">
        <v>103.59</v>
      </c>
      <c r="I7" s="161">
        <v>101.04</v>
      </c>
      <c r="J7" s="161">
        <v>103.17</v>
      </c>
      <c r="K7" s="161">
        <v>102.97</v>
      </c>
      <c r="L7" s="161">
        <v>104.27</v>
      </c>
      <c r="M7" s="161">
        <v>102.73</v>
      </c>
      <c r="N7" s="161">
        <v>104.16</v>
      </c>
      <c r="O7" s="161">
        <v>101.63</v>
      </c>
      <c r="P7" s="161">
        <v>102.23</v>
      </c>
      <c r="Q7" s="161">
        <v>101.01</v>
      </c>
      <c r="R7" s="161">
        <v>102.6</v>
      </c>
      <c r="S7" s="161">
        <v>101.36</v>
      </c>
      <c r="T7" s="161">
        <v>101.42</v>
      </c>
      <c r="U7" s="161">
        <v>101.02</v>
      </c>
      <c r="V7" s="161">
        <v>100.75</v>
      </c>
      <c r="W7" s="161">
        <v>99.98</v>
      </c>
      <c r="X7" s="161">
        <v>100.36</v>
      </c>
      <c r="Y7" s="161">
        <v>100.43</v>
      </c>
      <c r="Z7" s="161">
        <v>100.83</v>
      </c>
      <c r="AA7" s="161">
        <v>100.34</v>
      </c>
      <c r="AB7" s="162">
        <v>100.28</v>
      </c>
      <c r="AC7" s="161">
        <v>100.12</v>
      </c>
      <c r="AD7" s="161">
        <v>100.2</v>
      </c>
      <c r="AE7" s="163">
        <v>100.37</v>
      </c>
      <c r="AF7" s="163">
        <v>100.44</v>
      </c>
      <c r="AG7" s="163">
        <v>101.13</v>
      </c>
      <c r="AH7" s="163">
        <v>100.72</v>
      </c>
      <c r="AI7" s="163">
        <v>101.06</v>
      </c>
      <c r="AJ7" s="163">
        <v>100.81</v>
      </c>
      <c r="AK7" s="161">
        <v>101.1</v>
      </c>
    </row>
    <row r="8" spans="1:37" ht="15" customHeight="1" x14ac:dyDescent="0.2">
      <c r="A8" s="160" t="s">
        <v>211</v>
      </c>
      <c r="B8" s="161">
        <v>105.5</v>
      </c>
      <c r="C8" s="161">
        <v>118</v>
      </c>
      <c r="D8" s="161">
        <v>128.79</v>
      </c>
      <c r="E8" s="161">
        <v>116.82</v>
      </c>
      <c r="F8" s="161">
        <v>110.48</v>
      </c>
      <c r="G8" s="161">
        <v>104.3</v>
      </c>
      <c r="H8" s="161">
        <v>102.48</v>
      </c>
      <c r="I8" s="161">
        <v>101.23</v>
      </c>
      <c r="J8" s="161">
        <v>101.91</v>
      </c>
      <c r="K8" s="161">
        <v>101.45</v>
      </c>
      <c r="L8" s="161">
        <v>103.44</v>
      </c>
      <c r="M8" s="161">
        <v>103.7</v>
      </c>
      <c r="N8" s="161">
        <v>101.67</v>
      </c>
      <c r="O8" s="161">
        <v>100.56</v>
      </c>
      <c r="P8" s="161">
        <v>101.22</v>
      </c>
      <c r="Q8" s="161">
        <v>100.72</v>
      </c>
      <c r="R8" s="161">
        <v>100.57</v>
      </c>
      <c r="S8" s="161">
        <v>100.63</v>
      </c>
      <c r="T8" s="161">
        <v>100.58</v>
      </c>
      <c r="U8" s="161">
        <v>100.36</v>
      </c>
      <c r="V8" s="161">
        <v>100.33</v>
      </c>
      <c r="W8" s="161">
        <v>100.41</v>
      </c>
      <c r="X8" s="161">
        <v>100.15</v>
      </c>
      <c r="Y8" s="161">
        <v>100.46</v>
      </c>
      <c r="Z8" s="161">
        <v>100.31</v>
      </c>
      <c r="AA8" s="161">
        <v>100.06</v>
      </c>
      <c r="AB8" s="162">
        <v>100</v>
      </c>
      <c r="AC8" s="161">
        <v>100.12</v>
      </c>
      <c r="AD8" s="163">
        <v>100.13</v>
      </c>
      <c r="AE8" s="163">
        <v>100.09</v>
      </c>
      <c r="AF8" s="163">
        <v>100.37</v>
      </c>
      <c r="AG8" s="163">
        <v>103.99</v>
      </c>
      <c r="AH8" s="163">
        <v>100.97</v>
      </c>
      <c r="AI8" s="163">
        <v>100.83</v>
      </c>
      <c r="AJ8" s="163">
        <v>101.01</v>
      </c>
      <c r="AK8" s="163">
        <v>101.07</v>
      </c>
    </row>
    <row r="9" spans="1:37" ht="15" customHeight="1" x14ac:dyDescent="0.2">
      <c r="A9" s="160" t="s">
        <v>212</v>
      </c>
      <c r="B9" s="161">
        <v>121.5</v>
      </c>
      <c r="C9" s="161">
        <v>131.19999999999999</v>
      </c>
      <c r="D9" s="161">
        <v>140</v>
      </c>
      <c r="E9" s="161">
        <v>131.82</v>
      </c>
      <c r="F9" s="161">
        <v>112.22</v>
      </c>
      <c r="G9" s="161">
        <v>105.01</v>
      </c>
      <c r="H9" s="161">
        <v>101.58</v>
      </c>
      <c r="I9" s="161">
        <v>100.98</v>
      </c>
      <c r="J9" s="161">
        <v>103.13</v>
      </c>
      <c r="K9" s="161">
        <v>102.14</v>
      </c>
      <c r="L9" s="161">
        <v>102.8</v>
      </c>
      <c r="M9" s="161">
        <v>102.4</v>
      </c>
      <c r="N9" s="161">
        <v>101.78</v>
      </c>
      <c r="O9" s="161">
        <v>101.99</v>
      </c>
      <c r="P9" s="161">
        <v>100.82</v>
      </c>
      <c r="Q9" s="161">
        <v>100.58</v>
      </c>
      <c r="R9" s="161">
        <v>100.51</v>
      </c>
      <c r="S9" s="161">
        <v>100.96</v>
      </c>
      <c r="T9" s="161">
        <v>100.26</v>
      </c>
      <c r="U9" s="161">
        <v>100.22</v>
      </c>
      <c r="V9" s="161">
        <v>100.48</v>
      </c>
      <c r="W9" s="161">
        <v>100.26</v>
      </c>
      <c r="X9" s="161">
        <v>100.46</v>
      </c>
      <c r="Y9" s="161">
        <v>100.71</v>
      </c>
      <c r="Z9" s="161">
        <v>100.02</v>
      </c>
      <c r="AA9" s="161">
        <v>100.25</v>
      </c>
      <c r="AB9" s="162">
        <v>100.16</v>
      </c>
      <c r="AC9" s="161">
        <v>100.32</v>
      </c>
      <c r="AD9" s="163">
        <v>100.21</v>
      </c>
      <c r="AE9" s="163">
        <v>100.12</v>
      </c>
      <c r="AF9" s="163">
        <v>100.22</v>
      </c>
      <c r="AG9" s="163">
        <v>101.07</v>
      </c>
      <c r="AH9" s="163">
        <v>100.79</v>
      </c>
      <c r="AI9" s="163">
        <v>100.62</v>
      </c>
      <c r="AJ9" s="163">
        <v>100.53</v>
      </c>
      <c r="AK9" s="163">
        <v>100.47</v>
      </c>
    </row>
    <row r="10" spans="1:37" ht="15" customHeight="1" x14ac:dyDescent="0.2">
      <c r="A10" s="160" t="s">
        <v>213</v>
      </c>
      <c r="B10" s="161">
        <v>103.9</v>
      </c>
      <c r="C10" s="161">
        <v>117.8</v>
      </c>
      <c r="D10" s="161">
        <v>134.80000000000001</v>
      </c>
      <c r="E10" s="161">
        <v>112.72</v>
      </c>
      <c r="F10" s="161">
        <v>111.15</v>
      </c>
      <c r="G10" s="161">
        <v>102.16</v>
      </c>
      <c r="H10" s="161">
        <v>101.97</v>
      </c>
      <c r="I10" s="161">
        <v>101.05</v>
      </c>
      <c r="J10" s="161">
        <v>102.14</v>
      </c>
      <c r="K10" s="161">
        <v>101.34</v>
      </c>
      <c r="L10" s="161">
        <v>101.76</v>
      </c>
      <c r="M10" s="161">
        <v>100.97</v>
      </c>
      <c r="N10" s="161">
        <v>101.47</v>
      </c>
      <c r="O10" s="161">
        <v>101.38</v>
      </c>
      <c r="P10" s="161">
        <v>100.79</v>
      </c>
      <c r="Q10" s="161">
        <v>100.6</v>
      </c>
      <c r="R10" s="161">
        <v>100.49</v>
      </c>
      <c r="S10" s="161">
        <v>101.01</v>
      </c>
      <c r="T10" s="161">
        <v>100.31</v>
      </c>
      <c r="U10" s="161">
        <v>100.35</v>
      </c>
      <c r="V10" s="161">
        <v>100.7</v>
      </c>
      <c r="W10" s="161">
        <v>100.65</v>
      </c>
      <c r="X10" s="161">
        <v>100.81</v>
      </c>
      <c r="Y10" s="161">
        <v>100.75</v>
      </c>
      <c r="Z10" s="161">
        <v>100.5</v>
      </c>
      <c r="AA10" s="161">
        <v>100.46</v>
      </c>
      <c r="AB10" s="162">
        <v>100.35</v>
      </c>
      <c r="AC10" s="161">
        <v>100.35</v>
      </c>
      <c r="AD10" s="163">
        <v>100.39</v>
      </c>
      <c r="AE10" s="163">
        <v>100.46</v>
      </c>
      <c r="AF10" s="163">
        <v>100.44</v>
      </c>
      <c r="AG10" s="163">
        <v>99.68</v>
      </c>
      <c r="AH10" s="163">
        <v>101.13</v>
      </c>
      <c r="AI10" s="163">
        <v>101.53</v>
      </c>
      <c r="AJ10" s="163">
        <v>101.34</v>
      </c>
      <c r="AK10" s="163">
        <v>101.55</v>
      </c>
    </row>
    <row r="11" spans="1:37" ht="15" customHeight="1" x14ac:dyDescent="0.2">
      <c r="A11" s="160" t="s">
        <v>214</v>
      </c>
      <c r="B11" s="161">
        <v>103.5</v>
      </c>
      <c r="C11" s="161">
        <v>139.1</v>
      </c>
      <c r="D11" s="161">
        <v>117.3</v>
      </c>
      <c r="E11" s="161">
        <v>111.41</v>
      </c>
      <c r="F11" s="161">
        <v>108.73</v>
      </c>
      <c r="G11" s="161">
        <v>101.13</v>
      </c>
      <c r="H11" s="161">
        <v>101</v>
      </c>
      <c r="I11" s="161">
        <v>100.56</v>
      </c>
      <c r="J11" s="161">
        <v>103.48</v>
      </c>
      <c r="K11" s="161">
        <v>103.02</v>
      </c>
      <c r="L11" s="161">
        <v>102.53</v>
      </c>
      <c r="M11" s="161">
        <v>101.64</v>
      </c>
      <c r="N11" s="161">
        <v>101.22</v>
      </c>
      <c r="O11" s="161">
        <v>100.89</v>
      </c>
      <c r="P11" s="161">
        <v>100.92</v>
      </c>
      <c r="Q11" s="161">
        <v>100.68</v>
      </c>
      <c r="R11" s="161">
        <v>100.61</v>
      </c>
      <c r="S11" s="161">
        <v>101.1</v>
      </c>
      <c r="T11" s="161">
        <v>100.46</v>
      </c>
      <c r="U11" s="161">
        <v>100.42</v>
      </c>
      <c r="V11" s="161">
        <v>100.69</v>
      </c>
      <c r="W11" s="161">
        <v>100.8</v>
      </c>
      <c r="X11" s="161">
        <v>100.6</v>
      </c>
      <c r="Y11" s="161">
        <v>100.87</v>
      </c>
      <c r="Z11" s="161">
        <v>100.97</v>
      </c>
      <c r="AA11" s="161">
        <v>100.56</v>
      </c>
      <c r="AB11" s="162">
        <v>100.68</v>
      </c>
      <c r="AC11" s="161">
        <v>100.74</v>
      </c>
      <c r="AD11" s="161">
        <v>100.6</v>
      </c>
      <c r="AE11" s="163">
        <v>100.12</v>
      </c>
      <c r="AF11" s="163">
        <v>100.76</v>
      </c>
      <c r="AG11" s="163">
        <v>100.88</v>
      </c>
      <c r="AH11" s="163">
        <v>100.83</v>
      </c>
      <c r="AI11" s="163">
        <v>101.06</v>
      </c>
      <c r="AJ11" s="163">
        <v>100.59</v>
      </c>
      <c r="AK11" s="161">
        <v>101</v>
      </c>
    </row>
    <row r="12" spans="1:37" ht="15" customHeight="1" x14ac:dyDescent="0.2">
      <c r="A12" s="160" t="s">
        <v>215</v>
      </c>
      <c r="B12" s="161">
        <v>104.4</v>
      </c>
      <c r="C12" s="161">
        <v>120.8</v>
      </c>
      <c r="D12" s="161">
        <v>129.29</v>
      </c>
      <c r="E12" s="161">
        <v>113.3</v>
      </c>
      <c r="F12" s="161">
        <v>109.68</v>
      </c>
      <c r="G12" s="161">
        <v>102.31</v>
      </c>
      <c r="H12" s="161">
        <v>102.27</v>
      </c>
      <c r="I12" s="161">
        <v>101.22</v>
      </c>
      <c r="J12" s="161">
        <v>103.13</v>
      </c>
      <c r="K12" s="161">
        <v>103.77</v>
      </c>
      <c r="L12" s="161">
        <v>102.9</v>
      </c>
      <c r="M12" s="161">
        <v>101.79</v>
      </c>
      <c r="N12" s="161">
        <v>101.91</v>
      </c>
      <c r="O12" s="161">
        <v>101.31</v>
      </c>
      <c r="P12" s="161">
        <v>100.91</v>
      </c>
      <c r="Q12" s="161">
        <v>100.61</v>
      </c>
      <c r="R12" s="161">
        <v>100.64</v>
      </c>
      <c r="S12" s="161">
        <v>100.91</v>
      </c>
      <c r="T12" s="161">
        <v>100.8</v>
      </c>
      <c r="U12" s="161">
        <v>100.55</v>
      </c>
      <c r="V12" s="161">
        <v>100.62</v>
      </c>
      <c r="W12" s="161">
        <v>102.72</v>
      </c>
      <c r="X12" s="161">
        <v>103.08</v>
      </c>
      <c r="Y12" s="161">
        <v>101.41</v>
      </c>
      <c r="Z12" s="161">
        <v>103</v>
      </c>
      <c r="AA12" s="161">
        <v>101.65</v>
      </c>
      <c r="AB12" s="162">
        <v>101.59</v>
      </c>
      <c r="AC12" s="161">
        <v>101.28</v>
      </c>
      <c r="AD12" s="163">
        <v>100.93</v>
      </c>
      <c r="AE12" s="163">
        <v>100.99</v>
      </c>
      <c r="AF12" s="163">
        <v>100.88</v>
      </c>
      <c r="AG12" s="163">
        <v>101.41</v>
      </c>
      <c r="AH12" s="163">
        <v>100.48</v>
      </c>
      <c r="AI12" s="163">
        <v>102.86</v>
      </c>
      <c r="AJ12" s="163">
        <v>102.69</v>
      </c>
      <c r="AK12" s="163"/>
    </row>
    <row r="13" spans="1:37" ht="15" customHeight="1" x14ac:dyDescent="0.2">
      <c r="A13" s="160" t="s">
        <v>216</v>
      </c>
      <c r="B13" s="161">
        <v>101.9</v>
      </c>
      <c r="C13" s="161">
        <v>110.52</v>
      </c>
      <c r="D13" s="161">
        <v>149.78</v>
      </c>
      <c r="E13" s="161">
        <v>109.92</v>
      </c>
      <c r="F13" s="161">
        <v>107.86</v>
      </c>
      <c r="G13" s="161">
        <v>102.71</v>
      </c>
      <c r="H13" s="161">
        <v>101.05</v>
      </c>
      <c r="I13" s="161">
        <v>101.17</v>
      </c>
      <c r="J13" s="161">
        <v>101.93</v>
      </c>
      <c r="K13" s="161">
        <v>103</v>
      </c>
      <c r="L13" s="161">
        <v>102.26</v>
      </c>
      <c r="M13" s="161">
        <v>102.53</v>
      </c>
      <c r="N13" s="161">
        <v>100.73</v>
      </c>
      <c r="O13" s="161">
        <v>100.98</v>
      </c>
      <c r="P13" s="161">
        <v>100.77</v>
      </c>
      <c r="Q13" s="161">
        <v>100.75</v>
      </c>
      <c r="R13" s="161">
        <v>100.53</v>
      </c>
      <c r="S13" s="161">
        <v>100.94</v>
      </c>
      <c r="T13" s="161">
        <v>100.4</v>
      </c>
      <c r="U13" s="161">
        <v>100.29</v>
      </c>
      <c r="V13" s="161">
        <v>100.34</v>
      </c>
      <c r="W13" s="161">
        <v>100.58</v>
      </c>
      <c r="X13" s="161">
        <v>100.87</v>
      </c>
      <c r="Y13" s="161">
        <v>100.65</v>
      </c>
      <c r="Z13" s="161">
        <v>101.27</v>
      </c>
      <c r="AA13" s="161">
        <v>100.33</v>
      </c>
      <c r="AB13" s="162">
        <v>100.37</v>
      </c>
      <c r="AC13" s="161">
        <v>100.27</v>
      </c>
      <c r="AD13" s="163">
        <v>100.18</v>
      </c>
      <c r="AE13" s="163">
        <v>100.37</v>
      </c>
      <c r="AF13" s="163">
        <v>100.32</v>
      </c>
      <c r="AG13" s="163">
        <v>100.05</v>
      </c>
      <c r="AH13" s="163">
        <v>99.68</v>
      </c>
      <c r="AI13" s="163">
        <v>100.01</v>
      </c>
      <c r="AJ13" s="163">
        <v>99.38</v>
      </c>
      <c r="AK13" s="163"/>
    </row>
    <row r="14" spans="1:37" ht="15" customHeight="1" x14ac:dyDescent="0.2">
      <c r="A14" s="160" t="s">
        <v>217</v>
      </c>
      <c r="B14" s="161">
        <v>101.8</v>
      </c>
      <c r="C14" s="161">
        <v>110.9</v>
      </c>
      <c r="D14" s="161">
        <v>124.8</v>
      </c>
      <c r="E14" s="161">
        <v>113.4</v>
      </c>
      <c r="F14" s="161">
        <v>107.1</v>
      </c>
      <c r="G14" s="161">
        <v>101.61</v>
      </c>
      <c r="H14" s="161">
        <v>101.21</v>
      </c>
      <c r="I14" s="161">
        <v>103.38</v>
      </c>
      <c r="J14" s="161">
        <v>102.02</v>
      </c>
      <c r="K14" s="161">
        <v>102.77</v>
      </c>
      <c r="L14" s="161">
        <v>102.55</v>
      </c>
      <c r="M14" s="161">
        <v>102.76</v>
      </c>
      <c r="N14" s="161">
        <v>100.89</v>
      </c>
      <c r="O14" s="161">
        <v>100.63</v>
      </c>
      <c r="P14" s="161">
        <v>100.9</v>
      </c>
      <c r="Q14" s="161">
        <v>100.45</v>
      </c>
      <c r="R14" s="161">
        <v>100.44</v>
      </c>
      <c r="S14" s="161">
        <v>101.04</v>
      </c>
      <c r="T14" s="161">
        <v>100.08</v>
      </c>
      <c r="U14" s="161">
        <v>100.03</v>
      </c>
      <c r="V14" s="161">
        <v>99.91</v>
      </c>
      <c r="W14" s="161">
        <v>100.96</v>
      </c>
      <c r="X14" s="161">
        <v>100.11</v>
      </c>
      <c r="Y14" s="161">
        <v>100.28</v>
      </c>
      <c r="Z14" s="161">
        <v>100.02</v>
      </c>
      <c r="AA14" s="161">
        <v>100.09</v>
      </c>
      <c r="AB14" s="162">
        <v>100.12</v>
      </c>
      <c r="AC14" s="161">
        <v>100.24</v>
      </c>
      <c r="AD14" s="163">
        <v>99.77</v>
      </c>
      <c r="AE14" s="163">
        <v>99.58</v>
      </c>
      <c r="AF14" s="161">
        <v>100</v>
      </c>
      <c r="AG14" s="163">
        <v>100.51</v>
      </c>
      <c r="AH14" s="163">
        <v>100.61</v>
      </c>
      <c r="AI14" s="163">
        <v>100.51</v>
      </c>
      <c r="AJ14" s="163">
        <v>100.47</v>
      </c>
      <c r="AK14" s="163"/>
    </row>
    <row r="15" spans="1:37" ht="15" customHeight="1" x14ac:dyDescent="0.2">
      <c r="A15" s="160" t="s">
        <v>218</v>
      </c>
      <c r="B15" s="161">
        <v>102.6</v>
      </c>
      <c r="C15" s="161">
        <v>128.88</v>
      </c>
      <c r="D15" s="161">
        <v>124.3</v>
      </c>
      <c r="E15" s="161">
        <v>110.52</v>
      </c>
      <c r="F15" s="161">
        <v>108.91</v>
      </c>
      <c r="G15" s="161">
        <v>103.93</v>
      </c>
      <c r="H15" s="161">
        <v>101.15</v>
      </c>
      <c r="I15" s="161">
        <v>101.6</v>
      </c>
      <c r="J15" s="161">
        <v>102.04</v>
      </c>
      <c r="K15" s="161">
        <v>102.4</v>
      </c>
      <c r="L15" s="161">
        <v>101.91</v>
      </c>
      <c r="M15" s="161">
        <v>102.51</v>
      </c>
      <c r="N15" s="161">
        <v>100.8</v>
      </c>
      <c r="O15" s="161">
        <v>101.2</v>
      </c>
      <c r="P15" s="161">
        <v>100.69</v>
      </c>
      <c r="Q15" s="161">
        <v>100.41</v>
      </c>
      <c r="R15" s="161">
        <v>100.13</v>
      </c>
      <c r="S15" s="161">
        <v>100.01</v>
      </c>
      <c r="T15" s="161">
        <v>99.94</v>
      </c>
      <c r="U15" s="161">
        <v>100.02</v>
      </c>
      <c r="V15" s="161">
        <v>100.14</v>
      </c>
      <c r="W15" s="161">
        <v>100.05</v>
      </c>
      <c r="X15" s="161">
        <v>99.91</v>
      </c>
      <c r="Y15" s="161">
        <v>100.57</v>
      </c>
      <c r="Z15" s="161">
        <v>99.91</v>
      </c>
      <c r="AA15" s="161">
        <v>99.74</v>
      </c>
      <c r="AB15" s="162">
        <v>99.8</v>
      </c>
      <c r="AC15" s="161">
        <v>99.94</v>
      </c>
      <c r="AD15" s="163">
        <v>99.82</v>
      </c>
      <c r="AE15" s="163">
        <v>99.87</v>
      </c>
      <c r="AF15" s="163">
        <v>100.01</v>
      </c>
      <c r="AG15" s="163">
        <v>100.24</v>
      </c>
      <c r="AH15" s="163">
        <v>100.48</v>
      </c>
      <c r="AI15" s="163">
        <v>100.21</v>
      </c>
      <c r="AJ15" s="163">
        <v>99.58</v>
      </c>
      <c r="AK15" s="163"/>
    </row>
    <row r="16" spans="1:37" ht="15" customHeight="1" x14ac:dyDescent="0.2">
      <c r="A16" s="160" t="s">
        <v>219</v>
      </c>
      <c r="B16" s="161">
        <v>103.9</v>
      </c>
      <c r="C16" s="161">
        <v>122.6</v>
      </c>
      <c r="D16" s="161">
        <v>123</v>
      </c>
      <c r="E16" s="161">
        <v>110.5</v>
      </c>
      <c r="F16" s="161">
        <v>106.61</v>
      </c>
      <c r="G16" s="161">
        <v>102.72</v>
      </c>
      <c r="H16" s="161">
        <v>101.13</v>
      </c>
      <c r="I16" s="161">
        <v>101.25</v>
      </c>
      <c r="J16" s="161">
        <v>101.71</v>
      </c>
      <c r="K16" s="161">
        <v>101.58</v>
      </c>
      <c r="L16" s="161">
        <v>101.47</v>
      </c>
      <c r="M16" s="161">
        <v>101.85</v>
      </c>
      <c r="N16" s="161">
        <v>100.4</v>
      </c>
      <c r="O16" s="161">
        <v>100.83</v>
      </c>
      <c r="P16" s="161">
        <v>100.61</v>
      </c>
      <c r="Q16" s="161">
        <v>100.48</v>
      </c>
      <c r="R16" s="161">
        <v>100.58</v>
      </c>
      <c r="S16" s="161">
        <v>100.66</v>
      </c>
      <c r="T16" s="161">
        <v>100.13</v>
      </c>
      <c r="U16" s="161">
        <v>100.21</v>
      </c>
      <c r="V16" s="161">
        <v>100.09</v>
      </c>
      <c r="W16" s="161">
        <v>100.04</v>
      </c>
      <c r="X16" s="161">
        <v>100.21</v>
      </c>
      <c r="Y16" s="161">
        <v>101.16</v>
      </c>
      <c r="Z16" s="161">
        <v>100.16</v>
      </c>
      <c r="AA16" s="161">
        <v>100.04</v>
      </c>
      <c r="AB16" s="162">
        <v>100.12</v>
      </c>
      <c r="AC16" s="161">
        <v>100</v>
      </c>
      <c r="AD16" s="163">
        <v>100.11</v>
      </c>
      <c r="AE16" s="163">
        <v>100.05</v>
      </c>
      <c r="AF16" s="163">
        <v>100.81</v>
      </c>
      <c r="AG16" s="163">
        <v>100.76</v>
      </c>
      <c r="AH16" s="163">
        <v>101.23</v>
      </c>
      <c r="AI16" s="163">
        <v>101.31</v>
      </c>
      <c r="AJ16" s="163">
        <v>100.36</v>
      </c>
      <c r="AK16" s="163"/>
    </row>
    <row r="17" spans="1:37" ht="15" customHeight="1" x14ac:dyDescent="0.2">
      <c r="A17" s="160" t="s">
        <v>220</v>
      </c>
      <c r="B17" s="161">
        <v>103.4</v>
      </c>
      <c r="C17" s="161">
        <v>116.2</v>
      </c>
      <c r="D17" s="161">
        <v>115.6</v>
      </c>
      <c r="E17" s="161">
        <v>111.5</v>
      </c>
      <c r="F17" s="161">
        <v>102.95</v>
      </c>
      <c r="G17" s="161">
        <v>100.8</v>
      </c>
      <c r="H17" s="161">
        <v>100.74</v>
      </c>
      <c r="I17" s="161">
        <v>101.8</v>
      </c>
      <c r="J17" s="161">
        <v>100.91</v>
      </c>
      <c r="K17" s="161">
        <v>101.61</v>
      </c>
      <c r="L17" s="161">
        <v>101.35</v>
      </c>
      <c r="M17" s="161">
        <v>101.08</v>
      </c>
      <c r="N17" s="161">
        <v>100.91</v>
      </c>
      <c r="O17" s="161">
        <v>100.96</v>
      </c>
      <c r="P17" s="161">
        <v>100.83</v>
      </c>
      <c r="Q17" s="161">
        <v>100.73</v>
      </c>
      <c r="R17" s="161">
        <v>100.85</v>
      </c>
      <c r="S17" s="161">
        <v>100.96</v>
      </c>
      <c r="T17" s="161">
        <v>100.49</v>
      </c>
      <c r="U17" s="161">
        <v>100.42</v>
      </c>
      <c r="V17" s="161">
        <v>100.31</v>
      </c>
      <c r="W17" s="161">
        <v>100.44</v>
      </c>
      <c r="X17" s="161">
        <v>100.58</v>
      </c>
      <c r="Y17" s="161">
        <v>102.24</v>
      </c>
      <c r="Z17" s="161">
        <v>100.65</v>
      </c>
      <c r="AA17" s="161">
        <v>100.27</v>
      </c>
      <c r="AB17" s="162">
        <v>100.32</v>
      </c>
      <c r="AC17" s="161">
        <v>100.42</v>
      </c>
      <c r="AD17" s="163">
        <v>100.24</v>
      </c>
      <c r="AE17" s="163">
        <v>100.42</v>
      </c>
      <c r="AF17" s="163">
        <v>100.26</v>
      </c>
      <c r="AG17" s="163">
        <v>102.04</v>
      </c>
      <c r="AH17" s="161">
        <v>100.1</v>
      </c>
      <c r="AI17" s="161">
        <v>100.2</v>
      </c>
      <c r="AJ17" s="163">
        <v>100.15</v>
      </c>
      <c r="AK17" s="163"/>
    </row>
    <row r="18" spans="1:37" ht="15" customHeight="1" x14ac:dyDescent="0.2">
      <c r="A18" s="192" t="s">
        <v>221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</row>
    <row r="19" spans="1:37" s="167" customFormat="1" ht="15" customHeight="1" x14ac:dyDescent="0.2">
      <c r="A19" s="164" t="s">
        <v>220</v>
      </c>
      <c r="B19" s="165">
        <v>178.8</v>
      </c>
      <c r="C19" s="165">
        <v>2220.52</v>
      </c>
      <c r="D19" s="165">
        <v>2411.1999999999998</v>
      </c>
      <c r="E19" s="165">
        <v>622.4</v>
      </c>
      <c r="F19" s="165">
        <v>332.21</v>
      </c>
      <c r="G19" s="165">
        <v>148.38</v>
      </c>
      <c r="H19" s="165">
        <v>122.52</v>
      </c>
      <c r="I19" s="165">
        <v>118.29</v>
      </c>
      <c r="J19" s="165">
        <v>134.02000000000001</v>
      </c>
      <c r="K19" s="165">
        <v>133.69999999999999</v>
      </c>
      <c r="L19" s="165">
        <v>136.9</v>
      </c>
      <c r="M19" s="165">
        <v>136.16999999999999</v>
      </c>
      <c r="N19" s="165">
        <v>122.26</v>
      </c>
      <c r="O19" s="165">
        <v>117.74</v>
      </c>
      <c r="P19" s="165">
        <v>121</v>
      </c>
      <c r="Q19" s="165">
        <v>113.86</v>
      </c>
      <c r="R19" s="165">
        <v>113.33</v>
      </c>
      <c r="S19" s="165">
        <v>115.93</v>
      </c>
      <c r="T19" s="165">
        <v>111.6</v>
      </c>
      <c r="U19" s="165">
        <v>108.06</v>
      </c>
      <c r="V19" s="165">
        <v>108.72</v>
      </c>
      <c r="W19" s="165">
        <v>107.28</v>
      </c>
      <c r="X19" s="165">
        <v>108.01</v>
      </c>
      <c r="Y19" s="165">
        <v>110.45</v>
      </c>
      <c r="Z19" s="165">
        <v>110.2</v>
      </c>
      <c r="AA19" s="165">
        <v>104.89</v>
      </c>
      <c r="AB19" s="166">
        <v>104.35</v>
      </c>
      <c r="AC19" s="166">
        <v>103.94</v>
      </c>
      <c r="AD19" s="166">
        <v>103.75</v>
      </c>
      <c r="AE19" s="165">
        <v>102.7</v>
      </c>
      <c r="AF19" s="166">
        <v>104.98</v>
      </c>
      <c r="AG19" s="166">
        <v>113.19</v>
      </c>
      <c r="AH19" s="166">
        <v>108.33</v>
      </c>
      <c r="AI19" s="166">
        <v>111.52</v>
      </c>
      <c r="AJ19" s="165">
        <v>109.3</v>
      </c>
      <c r="AK19" s="166">
        <v>107.761</v>
      </c>
    </row>
    <row r="20" spans="1:37" s="167" customFormat="1" ht="33" customHeight="1" x14ac:dyDescent="0.2">
      <c r="A20" s="193" t="s">
        <v>222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</row>
    <row r="22" spans="1:37" ht="15" customHeight="1" x14ac:dyDescent="0.2">
      <c r="A22" s="168" t="s">
        <v>223</v>
      </c>
    </row>
    <row r="23" spans="1:37" ht="15.75" customHeight="1" x14ac:dyDescent="0.2"/>
    <row r="24" spans="1:37" ht="33" customHeight="1" x14ac:dyDescent="0.2">
      <c r="AA24" s="169" t="s">
        <v>224</v>
      </c>
      <c r="AB24" s="170">
        <f>(AB19/100)*(AA19/100)</f>
        <v>1.0945271499999998</v>
      </c>
      <c r="AC24" s="170">
        <f t="shared" ref="AC24:AK24" si="0">AB24*(AC19/100)</f>
        <v>1.1376515197099997</v>
      </c>
      <c r="AD24" s="170">
        <f t="shared" si="0"/>
        <v>1.1803134516991247</v>
      </c>
      <c r="AE24" s="170">
        <f t="shared" si="0"/>
        <v>1.2121819148950013</v>
      </c>
      <c r="AF24" s="170">
        <f t="shared" si="0"/>
        <v>1.2725485742567724</v>
      </c>
      <c r="AG24" s="170">
        <f t="shared" si="0"/>
        <v>1.4403977312012406</v>
      </c>
      <c r="AH24" s="170">
        <f t="shared" si="0"/>
        <v>1.5603828622103038</v>
      </c>
      <c r="AI24" s="170">
        <f t="shared" si="0"/>
        <v>1.7401389679369308</v>
      </c>
      <c r="AJ24" s="170">
        <f t="shared" si="0"/>
        <v>1.9019718919550652</v>
      </c>
      <c r="AK24" s="171">
        <f t="shared" si="0"/>
        <v>2.0495839304896979</v>
      </c>
    </row>
  </sheetData>
  <mergeCells count="4">
    <mergeCell ref="A1:AK1"/>
    <mergeCell ref="A5:AK5"/>
    <mergeCell ref="A18:AK18"/>
    <mergeCell ref="A20:AK20"/>
  </mergeCells>
  <hyperlinks>
    <hyperlink ref="A2" r:id="rId1" xr:uid="{00000000-0004-0000-0D00-000000000000}"/>
  </hyperlinks>
  <pageMargins left="0.209722222222222" right="0.196527777777778" top="0.74791666666666701" bottom="0.74791666666666701" header="0.511811023622047" footer="0.511811023622047"/>
  <pageSetup paperSize="9" scale="9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K11"/>
  <sheetViews>
    <sheetView tabSelected="1" zoomScaleNormal="100" workbookViewId="0">
      <selection activeCell="I8" sqref="I8:I11"/>
    </sheetView>
  </sheetViews>
  <sheetFormatPr baseColWidth="10" defaultColWidth="10.6640625" defaultRowHeight="16" x14ac:dyDescent="0.2"/>
  <cols>
    <col min="2" max="2" width="21.6640625" customWidth="1"/>
    <col min="3" max="3" width="20.33203125" customWidth="1"/>
    <col min="4" max="4" width="20.1640625" customWidth="1"/>
    <col min="5" max="5" width="16.33203125" customWidth="1"/>
    <col min="6" max="6" width="14.5" customWidth="1"/>
    <col min="7" max="7" width="13.5" customWidth="1"/>
    <col min="8" max="8" width="17.6640625" customWidth="1"/>
    <col min="9" max="9" width="20.5" customWidth="1"/>
    <col min="11" max="11" width="18.1640625" customWidth="1"/>
  </cols>
  <sheetData>
    <row r="1" spans="2:11" ht="15.75" customHeight="1" x14ac:dyDescent="0.2">
      <c r="B1" s="194" t="s">
        <v>225</v>
      </c>
      <c r="C1" s="194"/>
      <c r="D1" s="194"/>
      <c r="E1" s="194"/>
      <c r="F1" s="194"/>
      <c r="G1" s="194"/>
      <c r="H1" s="194"/>
      <c r="I1" s="194"/>
    </row>
    <row r="2" spans="2:11" s="7" customFormat="1" ht="45" customHeight="1" x14ac:dyDescent="0.2">
      <c r="B2" s="172" t="s">
        <v>226</v>
      </c>
      <c r="C2" s="6" t="s">
        <v>227</v>
      </c>
      <c r="D2" s="6" t="s">
        <v>228</v>
      </c>
      <c r="E2" s="6" t="s">
        <v>229</v>
      </c>
      <c r="F2" s="6" t="s">
        <v>230</v>
      </c>
      <c r="G2" s="6" t="s">
        <v>231</v>
      </c>
      <c r="H2" s="6" t="s">
        <v>232</v>
      </c>
      <c r="I2" s="173" t="s">
        <v>233</v>
      </c>
    </row>
    <row r="3" spans="2:11" ht="15.75" customHeight="1" x14ac:dyDescent="0.2">
      <c r="B3" s="174" t="s">
        <v>52</v>
      </c>
      <c r="C3" s="25">
        <f>'Расчетная модель ПС '!C9/4.168/7</f>
        <v>892.84300526678715</v>
      </c>
      <c r="D3" s="25">
        <f>'Расчетная модель ПС '!$C$4</f>
        <v>4308</v>
      </c>
      <c r="E3" s="25">
        <v>10449.200000000001</v>
      </c>
      <c r="F3" s="25"/>
      <c r="G3" s="25">
        <f>E3/'Индексы цен Услуги'!$AJ$24</f>
        <v>5493.8771935578461</v>
      </c>
      <c r="H3" s="25">
        <f>G3*D3</f>
        <v>23667622.949847203</v>
      </c>
      <c r="I3" s="106">
        <f>C3*1000/H3*10000</f>
        <v>377.24236487912754</v>
      </c>
      <c r="K3" s="175"/>
    </row>
    <row r="4" spans="2:11" ht="15.75" customHeight="1" x14ac:dyDescent="0.2">
      <c r="B4" s="174" t="s">
        <v>53</v>
      </c>
      <c r="C4" s="25">
        <f>'Расчетная модель ПС '!C35/4.168/7</f>
        <v>223.71369126246131</v>
      </c>
      <c r="D4" s="25">
        <f>'Расчетная модель ПС '!$C$30</f>
        <v>620</v>
      </c>
      <c r="E4" s="25">
        <v>10449.200000000001</v>
      </c>
      <c r="F4" s="25"/>
      <c r="G4" s="25">
        <f>E4/'Индексы цен Услуги'!$AJ$24</f>
        <v>5493.8771935578461</v>
      </c>
      <c r="H4" s="25">
        <f>G4*D4</f>
        <v>3406203.8600058644</v>
      </c>
      <c r="I4" s="106">
        <f>C4*1000/H4*10000</f>
        <v>656.78303606313261</v>
      </c>
      <c r="K4" s="175"/>
    </row>
    <row r="5" spans="2:11" ht="15.75" customHeight="1" x14ac:dyDescent="0.2">
      <c r="B5" s="174" t="s">
        <v>54</v>
      </c>
      <c r="C5" s="25">
        <f>'Расчетная модель ПС '!C61/4.168/7</f>
        <v>567.28174142267937</v>
      </c>
      <c r="D5" s="25">
        <f>'Расчетная модель ПС '!$C$56</f>
        <v>2649</v>
      </c>
      <c r="E5" s="25">
        <v>10449.200000000001</v>
      </c>
      <c r="F5" s="25"/>
      <c r="G5" s="25">
        <f>E5/'Индексы цен Услуги'!$AJ$24</f>
        <v>5493.8771935578461</v>
      </c>
      <c r="H5" s="25">
        <f>G5*D5</f>
        <v>14553280.685734734</v>
      </c>
      <c r="I5" s="106">
        <f>C5*1000/H5*10000</f>
        <v>389.79646835145184</v>
      </c>
      <c r="K5" s="175"/>
    </row>
    <row r="6" spans="2:11" ht="15.75" customHeight="1" x14ac:dyDescent="0.2">
      <c r="B6" s="174" t="s">
        <v>55</v>
      </c>
      <c r="C6" s="25">
        <f>'Расчетная модель ПС '!C86/4.168/7</f>
        <v>203.36541066482332</v>
      </c>
      <c r="D6" s="25">
        <f>'Расчетная модель ПС '!$C$81</f>
        <v>710</v>
      </c>
      <c r="E6" s="25">
        <v>10449.200000000001</v>
      </c>
      <c r="F6" s="25"/>
      <c r="G6" s="25">
        <f>E6/'Индексы цен Услуги'!$AJ$24</f>
        <v>5493.8771935578461</v>
      </c>
      <c r="H6" s="25">
        <f>G6*D6</f>
        <v>3900652.8074260708</v>
      </c>
      <c r="I6" s="106">
        <f>C6*1000/H6*10000</f>
        <v>521.36250188085398</v>
      </c>
      <c r="K6" s="175"/>
    </row>
    <row r="7" spans="2:11" ht="15.75" customHeight="1" x14ac:dyDescent="0.2">
      <c r="B7" s="174"/>
      <c r="C7" s="25"/>
      <c r="D7" s="25"/>
      <c r="E7" s="25"/>
      <c r="F7" s="25"/>
      <c r="G7" s="25"/>
      <c r="H7" s="25"/>
      <c r="I7" s="106"/>
    </row>
    <row r="8" spans="2:11" ht="15.75" customHeight="1" x14ac:dyDescent="0.2">
      <c r="B8" s="174" t="s">
        <v>234</v>
      </c>
      <c r="C8" s="25">
        <f>'Расчетная модель ПС '!C12*1.129</f>
        <v>651.74008800000001</v>
      </c>
      <c r="D8" s="25">
        <f>'Расчетная модель ПС '!$C$4</f>
        <v>4308</v>
      </c>
      <c r="E8" s="25"/>
      <c r="F8" s="25">
        <v>8438.35</v>
      </c>
      <c r="G8" s="25">
        <f>F8/'Индексы цен Услуги'!$AK$24</f>
        <v>4117.1039031243099</v>
      </c>
      <c r="H8" s="25">
        <f>G8*D8</f>
        <v>17736483.614659525</v>
      </c>
      <c r="I8" s="106">
        <f>C8*1000/H8*10000</f>
        <v>367.45732816020245</v>
      </c>
      <c r="K8" s="195"/>
    </row>
    <row r="9" spans="2:11" ht="15.75" customHeight="1" x14ac:dyDescent="0.2">
      <c r="B9" s="174" t="s">
        <v>235</v>
      </c>
      <c r="C9" s="25">
        <f>'Расчетная модель ПС '!C39*1.129</f>
        <v>93.097340000000003</v>
      </c>
      <c r="D9" s="25">
        <f>'Расчетная модель ПС '!$C$30</f>
        <v>620</v>
      </c>
      <c r="E9" s="25"/>
      <c r="F9" s="25">
        <v>8438.35</v>
      </c>
      <c r="G9" s="25">
        <f>F9/'Индексы цен Услуги'!$AK$24</f>
        <v>4117.1039031243099</v>
      </c>
      <c r="H9" s="25">
        <f>G9*D9</f>
        <v>2552604.4199370723</v>
      </c>
      <c r="I9" s="106">
        <f>C9*1000/H9*10000</f>
        <v>364.71510929333527</v>
      </c>
    </row>
    <row r="10" spans="2:11" ht="15.75" customHeight="1" x14ac:dyDescent="0.2">
      <c r="B10" s="174" t="s">
        <v>236</v>
      </c>
      <c r="C10" s="25">
        <f>'Расчетная модель ПС '!C64*1.129</f>
        <v>397.76589300000001</v>
      </c>
      <c r="D10" s="25">
        <f>'Расчетная модель ПС '!$C$56</f>
        <v>2649</v>
      </c>
      <c r="E10" s="25"/>
      <c r="F10" s="25">
        <v>8438.35</v>
      </c>
      <c r="G10" s="25">
        <f>F10/'Индексы цен Услуги'!$AK$24</f>
        <v>4117.1039031243099</v>
      </c>
      <c r="H10" s="25">
        <f>G10*D10</f>
        <v>10906208.239376297</v>
      </c>
      <c r="I10" s="106">
        <f>C10*1000/H10*10000</f>
        <v>364.71510929333527</v>
      </c>
    </row>
    <row r="11" spans="2:11" ht="16.5" customHeight="1" thickBot="1" x14ac:dyDescent="0.25">
      <c r="B11" s="176" t="s">
        <v>237</v>
      </c>
      <c r="C11" s="99">
        <f>'Расчетная модель ПС '!C90*1.129</f>
        <v>107.41306</v>
      </c>
      <c r="D11" s="99">
        <f>'Расчетная модель ПС '!$C$81</f>
        <v>710</v>
      </c>
      <c r="E11" s="99"/>
      <c r="F11" s="99">
        <v>8438.35</v>
      </c>
      <c r="G11" s="99">
        <f>F11/'Индексы цен Услуги'!$AK$24</f>
        <v>4117.1039031243099</v>
      </c>
      <c r="H11" s="99">
        <f>G11*D11</f>
        <v>2923143.7712182598</v>
      </c>
      <c r="I11" s="107">
        <f>C11*1000/H11*10000</f>
        <v>367.45732816020245</v>
      </c>
    </row>
  </sheetData>
  <mergeCells count="1">
    <mergeCell ref="B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08"/>
  <sheetViews>
    <sheetView zoomScale="90" zoomScaleNormal="90" workbookViewId="0">
      <selection activeCell="C8" sqref="C8"/>
    </sheetView>
  </sheetViews>
  <sheetFormatPr baseColWidth="10" defaultColWidth="10.6640625" defaultRowHeight="16" x14ac:dyDescent="0.2"/>
  <cols>
    <col min="1" max="1" width="48.6640625" style="19" customWidth="1"/>
    <col min="2" max="2" width="13.5" style="20" customWidth="1"/>
    <col min="3" max="3" width="19" style="20" customWidth="1"/>
    <col min="4" max="4" width="13.33203125" style="20" customWidth="1"/>
    <col min="5" max="17" width="12.5" style="20" customWidth="1"/>
    <col min="18" max="18" width="41.1640625" customWidth="1"/>
  </cols>
  <sheetData>
    <row r="2" spans="1:18" ht="15.75" customHeight="1" x14ac:dyDescent="0.2">
      <c r="A2" s="21" t="s">
        <v>8</v>
      </c>
      <c r="B2" s="22" t="s">
        <v>3</v>
      </c>
      <c r="C2" s="22">
        <v>2027</v>
      </c>
      <c r="D2" s="22">
        <v>2028</v>
      </c>
      <c r="E2" s="22">
        <v>2029</v>
      </c>
      <c r="F2" s="22">
        <v>2030</v>
      </c>
      <c r="G2" s="22">
        <v>2031</v>
      </c>
      <c r="H2" s="22">
        <v>2032</v>
      </c>
      <c r="I2" s="22">
        <v>2033</v>
      </c>
      <c r="J2" s="22">
        <v>2034</v>
      </c>
      <c r="K2" s="22">
        <v>2035</v>
      </c>
      <c r="L2" s="22">
        <v>2036</v>
      </c>
      <c r="M2" s="22">
        <v>2037</v>
      </c>
      <c r="N2" s="22">
        <v>2038</v>
      </c>
      <c r="O2" s="22">
        <v>2039</v>
      </c>
      <c r="P2" s="22">
        <v>2040</v>
      </c>
      <c r="Q2" s="22">
        <v>2041</v>
      </c>
      <c r="R2" t="s">
        <v>9</v>
      </c>
    </row>
    <row r="3" spans="1:18" ht="16.5" customHeight="1" x14ac:dyDescent="0.2">
      <c r="A3" s="23"/>
      <c r="B3" s="6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16.5" customHeight="1" x14ac:dyDescent="0.2">
      <c r="A4" s="23" t="s">
        <v>11</v>
      </c>
      <c r="B4" s="6" t="s">
        <v>12</v>
      </c>
      <c r="C4" s="25">
        <f>'Исходные данные'!$O$4</f>
        <v>4308</v>
      </c>
      <c r="D4" s="25">
        <f>'Исходные данные'!$O$4</f>
        <v>4308</v>
      </c>
      <c r="E4" s="25">
        <f>'Исходные данные'!$O$4</f>
        <v>4308</v>
      </c>
      <c r="F4" s="25">
        <f>'Исходные данные'!$O$4</f>
        <v>4308</v>
      </c>
      <c r="G4" s="25">
        <f>'Исходные данные'!$O$4</f>
        <v>4308</v>
      </c>
      <c r="H4" s="25">
        <f>'Исходные данные'!$O$4</f>
        <v>4308</v>
      </c>
      <c r="I4" s="25">
        <f>'Исходные данные'!$O$4</f>
        <v>4308</v>
      </c>
      <c r="J4" s="25">
        <f>'Исходные данные'!$O$4</f>
        <v>4308</v>
      </c>
      <c r="K4" s="25">
        <f>'Исходные данные'!$O$4</f>
        <v>4308</v>
      </c>
      <c r="L4" s="25">
        <f>'Исходные данные'!$O$4</f>
        <v>4308</v>
      </c>
      <c r="M4" s="25">
        <f>'Исходные данные'!$O$4</f>
        <v>4308</v>
      </c>
      <c r="N4" s="25">
        <f>'Исходные данные'!$O$4</f>
        <v>4308</v>
      </c>
      <c r="O4" s="25">
        <f>'Исходные данные'!$O$4</f>
        <v>4308</v>
      </c>
      <c r="P4" s="25">
        <f>'Исходные данные'!$O$4</f>
        <v>4308</v>
      </c>
      <c r="Q4" s="25">
        <f>'Исходные данные'!$O$4</f>
        <v>4308</v>
      </c>
    </row>
    <row r="5" spans="1:18" ht="16.5" customHeight="1" x14ac:dyDescent="0.2">
      <c r="A5" s="23" t="s">
        <v>11</v>
      </c>
      <c r="B5" s="6" t="s">
        <v>13</v>
      </c>
      <c r="C5" s="25">
        <f t="shared" ref="C5:Q5" si="0">C4*4.1868</f>
        <v>18036.734400000001</v>
      </c>
      <c r="D5" s="25">
        <f t="shared" si="0"/>
        <v>18036.734400000001</v>
      </c>
      <c r="E5" s="25">
        <f t="shared" si="0"/>
        <v>18036.734400000001</v>
      </c>
      <c r="F5" s="25">
        <f t="shared" si="0"/>
        <v>18036.734400000001</v>
      </c>
      <c r="G5" s="25">
        <f t="shared" si="0"/>
        <v>18036.734400000001</v>
      </c>
      <c r="H5" s="25">
        <f t="shared" si="0"/>
        <v>18036.734400000001</v>
      </c>
      <c r="I5" s="25">
        <f t="shared" si="0"/>
        <v>18036.734400000001</v>
      </c>
      <c r="J5" s="25">
        <f t="shared" si="0"/>
        <v>18036.734400000001</v>
      </c>
      <c r="K5" s="25">
        <f t="shared" si="0"/>
        <v>18036.734400000001</v>
      </c>
      <c r="L5" s="25">
        <f t="shared" si="0"/>
        <v>18036.734400000001</v>
      </c>
      <c r="M5" s="25">
        <f t="shared" si="0"/>
        <v>18036.734400000001</v>
      </c>
      <c r="N5" s="25">
        <f t="shared" si="0"/>
        <v>18036.734400000001</v>
      </c>
      <c r="O5" s="25">
        <f t="shared" si="0"/>
        <v>18036.734400000001</v>
      </c>
      <c r="P5" s="25">
        <f t="shared" si="0"/>
        <v>18036.734400000001</v>
      </c>
      <c r="Q5" s="25">
        <f t="shared" si="0"/>
        <v>18036.734400000001</v>
      </c>
    </row>
    <row r="6" spans="1:18" ht="15.75" customHeight="1" x14ac:dyDescent="0.2">
      <c r="A6" s="23"/>
      <c r="B6" s="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16.5" customHeight="1" x14ac:dyDescent="0.2">
      <c r="A7" s="26" t="s">
        <v>14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8" ht="51" customHeight="1" x14ac:dyDescent="0.2">
      <c r="A8" s="23" t="s">
        <v>15</v>
      </c>
      <c r="B8" s="6" t="s">
        <v>16</v>
      </c>
      <c r="C8" s="25">
        <f>'Котельные проект макс КПД котло'!G32</f>
        <v>69.239999999999995</v>
      </c>
      <c r="D8" s="25">
        <f>'Котельные проект макс КПД котло'!H32</f>
        <v>69.239999999999995</v>
      </c>
      <c r="E8" s="25">
        <f>'Котельные проект макс КПД котло'!I32</f>
        <v>69.239999999999995</v>
      </c>
      <c r="F8" s="25">
        <f>'Котельные проект макс КПД котло'!J32</f>
        <v>69.239999999999995</v>
      </c>
      <c r="G8" s="25">
        <f>'Котельные проект макс КПД котло'!K32</f>
        <v>69.239999999999995</v>
      </c>
      <c r="H8" s="25">
        <f>'Котельные проект макс КПД котло'!L32</f>
        <v>69.239999999999995</v>
      </c>
      <c r="I8" s="25">
        <f>'Котельные проект макс КПД котло'!M32</f>
        <v>69.239999999999995</v>
      </c>
      <c r="J8" s="25">
        <f>'Котельные проект макс КПД котло'!N32</f>
        <v>69.239999999999995</v>
      </c>
      <c r="K8" s="25">
        <f>'Котельные проект макс КПД котло'!O32</f>
        <v>69.239999999999995</v>
      </c>
      <c r="L8" s="25">
        <f>'Котельные проект макс КПД котло'!P32</f>
        <v>69.239999999999995</v>
      </c>
      <c r="M8" s="25">
        <f>'Котельные проект макс КПД котло'!Q32</f>
        <v>80.930000000000007</v>
      </c>
      <c r="N8" s="25">
        <f>'Котельные проект макс КПД котло'!R32</f>
        <v>85</v>
      </c>
      <c r="O8" s="25">
        <f>'Котельные проект макс КПД котло'!S32</f>
        <v>85</v>
      </c>
      <c r="P8" s="25">
        <f>'Котельные проект макс КПД котло'!T32</f>
        <v>85</v>
      </c>
      <c r="Q8" s="25">
        <f>'Котельные проект макс КПД котло'!U32</f>
        <v>85</v>
      </c>
    </row>
    <row r="9" spans="1:18" ht="16.5" customHeight="1" x14ac:dyDescent="0.2">
      <c r="A9" s="23" t="s">
        <v>17</v>
      </c>
      <c r="B9" s="6" t="s">
        <v>13</v>
      </c>
      <c r="C9" s="29">
        <f t="shared" ref="C9:Q9" si="1">C5/(C8/100)</f>
        <v>26049.587521663783</v>
      </c>
      <c r="D9" s="29">
        <f t="shared" si="1"/>
        <v>26049.587521663783</v>
      </c>
      <c r="E9" s="29">
        <f t="shared" si="1"/>
        <v>26049.587521663783</v>
      </c>
      <c r="F9" s="29">
        <f t="shared" si="1"/>
        <v>26049.587521663783</v>
      </c>
      <c r="G9" s="29">
        <f t="shared" si="1"/>
        <v>26049.587521663783</v>
      </c>
      <c r="H9" s="29">
        <f t="shared" si="1"/>
        <v>26049.587521663783</v>
      </c>
      <c r="I9" s="29">
        <f t="shared" si="1"/>
        <v>26049.587521663783</v>
      </c>
      <c r="J9" s="29">
        <f t="shared" si="1"/>
        <v>26049.587521663783</v>
      </c>
      <c r="K9" s="29">
        <f t="shared" si="1"/>
        <v>26049.587521663783</v>
      </c>
      <c r="L9" s="29">
        <f t="shared" si="1"/>
        <v>26049.587521663783</v>
      </c>
      <c r="M9" s="29">
        <f t="shared" si="1"/>
        <v>22286.833559866551</v>
      </c>
      <c r="N9" s="29">
        <f t="shared" si="1"/>
        <v>21219.687529411767</v>
      </c>
      <c r="O9" s="29">
        <f t="shared" si="1"/>
        <v>21219.687529411767</v>
      </c>
      <c r="P9" s="29">
        <f t="shared" si="1"/>
        <v>21219.687529411767</v>
      </c>
      <c r="Q9" s="29">
        <f t="shared" si="1"/>
        <v>21219.687529411767</v>
      </c>
    </row>
    <row r="10" spans="1:18" ht="15.75" customHeight="1" x14ac:dyDescent="0.2">
      <c r="A10" s="30"/>
      <c r="B10" s="24"/>
      <c r="C10" s="29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8" ht="16.5" customHeight="1" x14ac:dyDescent="0.2">
      <c r="A11" s="31" t="s">
        <v>18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8" ht="16.5" customHeight="1" x14ac:dyDescent="0.2">
      <c r="A12" s="23" t="s">
        <v>19</v>
      </c>
      <c r="B12" s="6" t="s">
        <v>20</v>
      </c>
      <c r="C12" s="25">
        <f>C4*'Исходные данные'!$O$16</f>
        <v>577.27200000000005</v>
      </c>
      <c r="D12" s="25">
        <f>D4*'Исходные данные'!$O$16</f>
        <v>577.27200000000005</v>
      </c>
      <c r="E12" s="25">
        <f>E4*'Исходные данные'!$O$16</f>
        <v>577.27200000000005</v>
      </c>
      <c r="F12" s="25">
        <f>F4*'Исходные данные'!$O$16</f>
        <v>577.27200000000005</v>
      </c>
      <c r="G12" s="25">
        <f>G4*'Исходные данные'!$O$16</f>
        <v>577.27200000000005</v>
      </c>
      <c r="H12" s="25">
        <f>H4*'Исходные данные'!$O$16</f>
        <v>577.27200000000005</v>
      </c>
      <c r="I12" s="25">
        <f>I4*'Исходные данные'!$O$16</f>
        <v>577.27200000000005</v>
      </c>
      <c r="J12" s="25">
        <f>J4*'Исходные данные'!$O$16</f>
        <v>577.27200000000005</v>
      </c>
      <c r="K12" s="25">
        <f>K4*'Исходные данные'!$O$16</f>
        <v>577.27200000000005</v>
      </c>
      <c r="L12" s="25">
        <f>L4*'Исходные данные'!$O$16</f>
        <v>577.27200000000005</v>
      </c>
      <c r="M12" s="25">
        <f>M4*'Исходные данные'!$O$16</f>
        <v>577.27200000000005</v>
      </c>
      <c r="N12" s="25">
        <f>N4*'Исходные данные'!$O$16</f>
        <v>577.27200000000005</v>
      </c>
      <c r="O12" s="25">
        <f>O4*'Исходные данные'!$O$16</f>
        <v>577.27200000000005</v>
      </c>
      <c r="P12" s="25">
        <f>P4*'Исходные данные'!$O$16</f>
        <v>577.27200000000005</v>
      </c>
      <c r="Q12" s="25">
        <f>Q4*'Исходные данные'!$O$16</f>
        <v>577.27200000000005</v>
      </c>
    </row>
    <row r="13" spans="1:18" ht="16.5" customHeight="1" x14ac:dyDescent="0.2">
      <c r="A13" s="23" t="s">
        <v>21</v>
      </c>
      <c r="B13" s="6" t="s">
        <v>22</v>
      </c>
      <c r="C13" s="25">
        <v>1.7949999999999999</v>
      </c>
      <c r="D13" s="25">
        <v>1.7949999999999999</v>
      </c>
      <c r="E13" s="25">
        <v>1.7949999999999999</v>
      </c>
      <c r="F13" s="25">
        <v>1.7949999999999999</v>
      </c>
      <c r="G13" s="25">
        <v>1.7949999999999999</v>
      </c>
      <c r="H13" s="25">
        <v>1.7949999999999999</v>
      </c>
      <c r="I13" s="25">
        <v>1.7949999999999999</v>
      </c>
      <c r="J13" s="25">
        <v>1.7949999999999999</v>
      </c>
      <c r="K13" s="25">
        <v>1.7949999999999999</v>
      </c>
      <c r="L13" s="25">
        <v>1.7949999999999999</v>
      </c>
      <c r="M13" s="25">
        <v>1.7949999999999999</v>
      </c>
      <c r="N13" s="25">
        <v>1.7949999999999999</v>
      </c>
      <c r="O13" s="25">
        <v>1.7949999999999999</v>
      </c>
      <c r="P13" s="25">
        <v>1.7949999999999999</v>
      </c>
      <c r="Q13" s="25">
        <v>1.7949999999999999</v>
      </c>
      <c r="R13" t="s">
        <v>23</v>
      </c>
    </row>
    <row r="14" spans="1:18" ht="15.75" customHeight="1" x14ac:dyDescent="0.2">
      <c r="A14" s="23"/>
      <c r="B14" s="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51" customHeight="1" x14ac:dyDescent="0.2">
      <c r="A15" s="23" t="s">
        <v>24</v>
      </c>
      <c r="B15" s="6" t="s">
        <v>25</v>
      </c>
      <c r="C15" s="25">
        <f>'Исходные данные'!$O$11/1000</f>
        <v>106.928</v>
      </c>
      <c r="D15" s="25">
        <f>'Исходные данные'!$O$11/1000</f>
        <v>106.928</v>
      </c>
      <c r="E15" s="25">
        <f>'Исходные данные'!$O$11/1000</f>
        <v>106.928</v>
      </c>
      <c r="F15" s="25">
        <f>'Исходные данные'!$O$11/1000</f>
        <v>106.928</v>
      </c>
      <c r="G15" s="25">
        <f>'Исходные данные'!$O$11/1000</f>
        <v>106.928</v>
      </c>
      <c r="H15" s="25">
        <f>'Исходные данные'!$O$11/1000</f>
        <v>106.928</v>
      </c>
      <c r="I15" s="25">
        <f>'Исходные данные'!$O$11/1000</f>
        <v>106.928</v>
      </c>
      <c r="J15" s="25">
        <f>'Исходные данные'!$O$11/1000</f>
        <v>106.928</v>
      </c>
      <c r="K15" s="25">
        <f>'Исходные данные'!$O$11/1000</f>
        <v>106.928</v>
      </c>
      <c r="L15" s="25">
        <f>'Исходные данные'!$O$11/1000</f>
        <v>106.928</v>
      </c>
      <c r="M15" s="25">
        <f>'Исходные данные'!$O$11/1000</f>
        <v>106.928</v>
      </c>
      <c r="N15" s="25">
        <f>'Исходные данные'!$O$11/1000</f>
        <v>106.928</v>
      </c>
      <c r="O15" s="25">
        <f>'Исходные данные'!$O$11/1000</f>
        <v>106.928</v>
      </c>
      <c r="P15" s="25">
        <f>'Исходные данные'!$O$11/1000</f>
        <v>106.928</v>
      </c>
      <c r="Q15" s="25">
        <f>'Исходные данные'!$O$11/1000</f>
        <v>106.928</v>
      </c>
    </row>
    <row r="16" spans="1:18" ht="33.75" customHeight="1" x14ac:dyDescent="0.2">
      <c r="A16" s="23" t="s">
        <v>26</v>
      </c>
      <c r="B16" s="6" t="s">
        <v>27</v>
      </c>
      <c r="C16" s="25">
        <v>0.33560000000000001</v>
      </c>
      <c r="D16" s="25">
        <v>0.33560000000000001</v>
      </c>
      <c r="E16" s="25">
        <v>0.33560000000000001</v>
      </c>
      <c r="F16" s="25">
        <v>0.33560000000000001</v>
      </c>
      <c r="G16" s="25">
        <v>0.33560000000000001</v>
      </c>
      <c r="H16" s="25">
        <v>0.33560000000000001</v>
      </c>
      <c r="I16" s="25">
        <v>0.33560000000000001</v>
      </c>
      <c r="J16" s="25">
        <v>0.33560000000000001</v>
      </c>
      <c r="K16" s="25">
        <v>0.33560000000000001</v>
      </c>
      <c r="L16" s="25">
        <v>0.33560000000000001</v>
      </c>
      <c r="M16" s="25">
        <v>0.33560000000000001</v>
      </c>
      <c r="N16" s="25">
        <v>0.33560000000000001</v>
      </c>
      <c r="O16" s="25">
        <v>0.33560000000000001</v>
      </c>
      <c r="P16" s="25">
        <v>0.33560000000000001</v>
      </c>
      <c r="Q16" s="25">
        <v>0.33560000000000001</v>
      </c>
      <c r="R16" t="s">
        <v>28</v>
      </c>
    </row>
    <row r="17" spans="1:18" ht="15.75" customHeight="1" x14ac:dyDescent="0.2">
      <c r="A17" s="23"/>
      <c r="B17" s="6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8" ht="16.5" customHeight="1" x14ac:dyDescent="0.2">
      <c r="A18" s="34" t="s">
        <v>29</v>
      </c>
      <c r="B18" s="35" t="s">
        <v>4</v>
      </c>
      <c r="C18" s="36">
        <f t="shared" ref="C18:Q18" si="2">ROUND(C12*C13+C15*C16,0)</f>
        <v>1072</v>
      </c>
      <c r="D18" s="36">
        <f t="shared" si="2"/>
        <v>1072</v>
      </c>
      <c r="E18" s="36">
        <f t="shared" si="2"/>
        <v>1072</v>
      </c>
      <c r="F18" s="36">
        <f t="shared" si="2"/>
        <v>1072</v>
      </c>
      <c r="G18" s="36">
        <f t="shared" si="2"/>
        <v>1072</v>
      </c>
      <c r="H18" s="36">
        <f t="shared" si="2"/>
        <v>1072</v>
      </c>
      <c r="I18" s="36">
        <f t="shared" si="2"/>
        <v>1072</v>
      </c>
      <c r="J18" s="36">
        <f t="shared" si="2"/>
        <v>1072</v>
      </c>
      <c r="K18" s="36">
        <f t="shared" si="2"/>
        <v>1072</v>
      </c>
      <c r="L18" s="36">
        <f t="shared" si="2"/>
        <v>1072</v>
      </c>
      <c r="M18" s="36">
        <f t="shared" si="2"/>
        <v>1072</v>
      </c>
      <c r="N18" s="36">
        <f t="shared" si="2"/>
        <v>1072</v>
      </c>
      <c r="O18" s="36">
        <f t="shared" si="2"/>
        <v>1072</v>
      </c>
      <c r="P18" s="36">
        <f t="shared" si="2"/>
        <v>1072</v>
      </c>
      <c r="Q18" s="36">
        <f t="shared" si="2"/>
        <v>1072</v>
      </c>
    </row>
    <row r="19" spans="1:18" ht="15.75" customHeight="1" x14ac:dyDescent="0.2">
      <c r="A19" s="23"/>
      <c r="B19" s="6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8" ht="16.5" customHeight="1" x14ac:dyDescent="0.2">
      <c r="A20" s="26" t="s">
        <v>30</v>
      </c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33.75" customHeight="1" x14ac:dyDescent="0.2">
      <c r="A21" s="23" t="s">
        <v>31</v>
      </c>
      <c r="B21" s="6" t="s">
        <v>32</v>
      </c>
      <c r="C21" s="25">
        <v>2.9</v>
      </c>
      <c r="D21" s="25">
        <v>2.9</v>
      </c>
      <c r="E21" s="25">
        <v>2.9</v>
      </c>
      <c r="F21" s="25">
        <v>2.9</v>
      </c>
      <c r="G21" s="25">
        <v>2.9</v>
      </c>
      <c r="H21" s="25">
        <v>2.9</v>
      </c>
      <c r="I21" s="25">
        <v>2.9</v>
      </c>
      <c r="J21" s="25">
        <v>2.9</v>
      </c>
      <c r="K21" s="25">
        <v>2.9</v>
      </c>
      <c r="L21" s="25">
        <v>2.9</v>
      </c>
      <c r="M21" s="25">
        <v>2.9</v>
      </c>
      <c r="N21" s="25">
        <v>2.9</v>
      </c>
      <c r="O21" s="25">
        <v>2.9</v>
      </c>
      <c r="P21" s="25">
        <v>2.9</v>
      </c>
      <c r="Q21" s="25">
        <v>2.9</v>
      </c>
      <c r="R21" s="37" t="s">
        <v>33</v>
      </c>
    </row>
    <row r="22" spans="1:18" ht="33.75" customHeight="1" x14ac:dyDescent="0.2">
      <c r="A22" s="23" t="s">
        <v>34</v>
      </c>
      <c r="B22" s="6" t="s">
        <v>32</v>
      </c>
      <c r="C22" s="25">
        <v>5.8</v>
      </c>
      <c r="D22" s="25">
        <v>5.8</v>
      </c>
      <c r="E22" s="25">
        <v>5.8</v>
      </c>
      <c r="F22" s="25">
        <v>5.8</v>
      </c>
      <c r="G22" s="25">
        <v>5.8</v>
      </c>
      <c r="H22" s="25">
        <v>5.8</v>
      </c>
      <c r="I22" s="25">
        <v>5.8</v>
      </c>
      <c r="J22" s="25">
        <v>5.8</v>
      </c>
      <c r="K22" s="25">
        <v>5.8</v>
      </c>
      <c r="L22" s="25">
        <v>5.8</v>
      </c>
      <c r="M22" s="25">
        <v>5.8</v>
      </c>
      <c r="N22" s="25">
        <v>5.8</v>
      </c>
      <c r="O22" s="25">
        <v>5.8</v>
      </c>
      <c r="P22" s="25">
        <v>5.8</v>
      </c>
      <c r="Q22" s="25">
        <v>5.8</v>
      </c>
      <c r="R22" s="37" t="s">
        <v>33</v>
      </c>
    </row>
    <row r="23" spans="1:18" ht="33.75" customHeight="1" x14ac:dyDescent="0.2">
      <c r="A23" s="38" t="s">
        <v>35</v>
      </c>
      <c r="B23" s="6" t="s">
        <v>4</v>
      </c>
      <c r="C23" s="25">
        <f t="shared" ref="C23:Q23" si="3">C21*(C12*33.08/1000)</f>
        <v>55.378857504000003</v>
      </c>
      <c r="D23" s="25">
        <f t="shared" si="3"/>
        <v>55.378857504000003</v>
      </c>
      <c r="E23" s="25">
        <f t="shared" si="3"/>
        <v>55.378857504000003</v>
      </c>
      <c r="F23" s="25">
        <f t="shared" si="3"/>
        <v>55.378857504000003</v>
      </c>
      <c r="G23" s="25">
        <f t="shared" si="3"/>
        <v>55.378857504000003</v>
      </c>
      <c r="H23" s="25">
        <f t="shared" si="3"/>
        <v>55.378857504000003</v>
      </c>
      <c r="I23" s="25">
        <f t="shared" si="3"/>
        <v>55.378857504000003</v>
      </c>
      <c r="J23" s="25">
        <f t="shared" si="3"/>
        <v>55.378857504000003</v>
      </c>
      <c r="K23" s="25">
        <f t="shared" si="3"/>
        <v>55.378857504000003</v>
      </c>
      <c r="L23" s="25">
        <f t="shared" si="3"/>
        <v>55.378857504000003</v>
      </c>
      <c r="M23" s="25">
        <f t="shared" si="3"/>
        <v>55.378857504000003</v>
      </c>
      <c r="N23" s="25">
        <f t="shared" si="3"/>
        <v>55.378857504000003</v>
      </c>
      <c r="O23" s="25">
        <f t="shared" si="3"/>
        <v>55.378857504000003</v>
      </c>
      <c r="P23" s="25">
        <f t="shared" si="3"/>
        <v>55.378857504000003</v>
      </c>
      <c r="Q23" s="25">
        <f t="shared" si="3"/>
        <v>55.378857504000003</v>
      </c>
    </row>
    <row r="24" spans="1:18" ht="33.75" customHeight="1" x14ac:dyDescent="0.2">
      <c r="A24" s="38" t="s">
        <v>36</v>
      </c>
      <c r="B24" s="6" t="s">
        <v>4</v>
      </c>
      <c r="C24" s="25">
        <f t="shared" ref="C24:Q24" si="4">C22*(C9/1000)</f>
        <v>151.08760762564995</v>
      </c>
      <c r="D24" s="25">
        <f t="shared" si="4"/>
        <v>151.08760762564995</v>
      </c>
      <c r="E24" s="25">
        <f t="shared" si="4"/>
        <v>151.08760762564995</v>
      </c>
      <c r="F24" s="25">
        <f t="shared" si="4"/>
        <v>151.08760762564995</v>
      </c>
      <c r="G24" s="25">
        <f t="shared" si="4"/>
        <v>151.08760762564995</v>
      </c>
      <c r="H24" s="25">
        <f t="shared" si="4"/>
        <v>151.08760762564995</v>
      </c>
      <c r="I24" s="25">
        <f t="shared" si="4"/>
        <v>151.08760762564995</v>
      </c>
      <c r="J24" s="25">
        <f t="shared" si="4"/>
        <v>151.08760762564995</v>
      </c>
      <c r="K24" s="25">
        <f t="shared" si="4"/>
        <v>151.08760762564995</v>
      </c>
      <c r="L24" s="25">
        <f t="shared" si="4"/>
        <v>151.08760762564995</v>
      </c>
      <c r="M24" s="25">
        <f t="shared" si="4"/>
        <v>129.26363464722598</v>
      </c>
      <c r="N24" s="25">
        <f t="shared" si="4"/>
        <v>123.07418767058824</v>
      </c>
      <c r="O24" s="25">
        <f t="shared" si="4"/>
        <v>123.07418767058824</v>
      </c>
      <c r="P24" s="25">
        <f t="shared" si="4"/>
        <v>123.07418767058824</v>
      </c>
      <c r="Q24" s="25">
        <f t="shared" si="4"/>
        <v>123.07418767058824</v>
      </c>
    </row>
    <row r="25" spans="1:18" ht="16.5" customHeight="1" x14ac:dyDescent="0.2">
      <c r="A25" s="39" t="s">
        <v>30</v>
      </c>
      <c r="B25" s="6" t="s">
        <v>4</v>
      </c>
      <c r="C25" s="29">
        <f t="shared" ref="C25:Q25" si="5">C23-C24</f>
        <v>-95.708750121649956</v>
      </c>
      <c r="D25" s="29">
        <f t="shared" si="5"/>
        <v>-95.708750121649956</v>
      </c>
      <c r="E25" s="29">
        <f t="shared" si="5"/>
        <v>-95.708750121649956</v>
      </c>
      <c r="F25" s="29">
        <f t="shared" si="5"/>
        <v>-95.708750121649956</v>
      </c>
      <c r="G25" s="29">
        <f t="shared" si="5"/>
        <v>-95.708750121649956</v>
      </c>
      <c r="H25" s="29">
        <f t="shared" si="5"/>
        <v>-95.708750121649956</v>
      </c>
      <c r="I25" s="29">
        <f t="shared" si="5"/>
        <v>-95.708750121649956</v>
      </c>
      <c r="J25" s="29">
        <f t="shared" si="5"/>
        <v>-95.708750121649956</v>
      </c>
      <c r="K25" s="29">
        <f t="shared" si="5"/>
        <v>-95.708750121649956</v>
      </c>
      <c r="L25" s="29">
        <f t="shared" si="5"/>
        <v>-95.708750121649956</v>
      </c>
      <c r="M25" s="29">
        <f t="shared" si="5"/>
        <v>-73.884777143225989</v>
      </c>
      <c r="N25" s="29">
        <f t="shared" si="5"/>
        <v>-67.695330166588235</v>
      </c>
      <c r="O25" s="29">
        <f t="shared" si="5"/>
        <v>-67.695330166588235</v>
      </c>
      <c r="P25" s="29">
        <f t="shared" si="5"/>
        <v>-67.695330166588235</v>
      </c>
      <c r="Q25" s="29">
        <f t="shared" si="5"/>
        <v>-67.695330166588235</v>
      </c>
    </row>
    <row r="26" spans="1:18" ht="16.5" hidden="1" customHeight="1" x14ac:dyDescent="0.2">
      <c r="A26" s="40" t="s">
        <v>37</v>
      </c>
      <c r="B26" s="41" t="s">
        <v>4</v>
      </c>
      <c r="C26" s="42">
        <f t="shared" ref="C26:Q26" si="6">C17-C18</f>
        <v>-1072</v>
      </c>
      <c r="D26" s="42">
        <f t="shared" si="6"/>
        <v>-1072</v>
      </c>
      <c r="E26" s="42">
        <f t="shared" si="6"/>
        <v>-1072</v>
      </c>
      <c r="F26" s="42">
        <f t="shared" si="6"/>
        <v>-1072</v>
      </c>
      <c r="G26" s="42">
        <f t="shared" si="6"/>
        <v>-1072</v>
      </c>
      <c r="H26" s="42">
        <f t="shared" si="6"/>
        <v>-1072</v>
      </c>
      <c r="I26" s="42">
        <f t="shared" si="6"/>
        <v>-1072</v>
      </c>
      <c r="J26" s="42">
        <f t="shared" si="6"/>
        <v>-1072</v>
      </c>
      <c r="K26" s="42">
        <f t="shared" si="6"/>
        <v>-1072</v>
      </c>
      <c r="L26" s="42">
        <f t="shared" si="6"/>
        <v>-1072</v>
      </c>
      <c r="M26" s="42">
        <f t="shared" si="6"/>
        <v>-1072</v>
      </c>
      <c r="N26" s="42">
        <f t="shared" si="6"/>
        <v>-1072</v>
      </c>
      <c r="O26" s="42">
        <f t="shared" si="6"/>
        <v>-1072</v>
      </c>
      <c r="P26" s="42">
        <f t="shared" si="6"/>
        <v>-1072</v>
      </c>
      <c r="Q26" s="42">
        <f t="shared" si="6"/>
        <v>-1072</v>
      </c>
      <c r="R26" s="43"/>
    </row>
    <row r="28" spans="1:18" ht="15.75" customHeight="1" x14ac:dyDescent="0.2">
      <c r="A28" s="21" t="s">
        <v>38</v>
      </c>
      <c r="B28" s="22" t="s">
        <v>3</v>
      </c>
      <c r="C28" s="22">
        <v>2027</v>
      </c>
      <c r="D28" s="22">
        <v>2028</v>
      </c>
      <c r="E28" s="22">
        <v>2029</v>
      </c>
      <c r="F28" s="22">
        <v>2030</v>
      </c>
      <c r="G28" s="22">
        <v>2031</v>
      </c>
      <c r="H28" s="22">
        <v>2032</v>
      </c>
      <c r="I28" s="22">
        <v>2033</v>
      </c>
      <c r="J28" s="22">
        <v>2034</v>
      </c>
      <c r="K28" s="22">
        <v>2035</v>
      </c>
      <c r="L28" s="22">
        <v>2036</v>
      </c>
      <c r="M28" s="22">
        <v>2037</v>
      </c>
      <c r="N28" s="22">
        <v>2038</v>
      </c>
      <c r="O28" s="22">
        <v>2039</v>
      </c>
      <c r="P28" s="22">
        <v>2040</v>
      </c>
      <c r="Q28" s="22">
        <v>2041</v>
      </c>
    </row>
    <row r="29" spans="1:18" ht="16.5" customHeight="1" x14ac:dyDescent="0.2">
      <c r="A29" s="23"/>
      <c r="B29" s="6" t="s">
        <v>10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8" ht="16.5" customHeight="1" x14ac:dyDescent="0.2">
      <c r="A30" s="23" t="s">
        <v>39</v>
      </c>
      <c r="B30" s="6" t="s">
        <v>12</v>
      </c>
      <c r="C30" s="25">
        <f>'Исходные данные'!$R$4</f>
        <v>620</v>
      </c>
      <c r="D30" s="25">
        <f>'Исходные данные'!$R$4</f>
        <v>620</v>
      </c>
      <c r="E30" s="25">
        <f>'Исходные данные'!$R$4</f>
        <v>620</v>
      </c>
      <c r="F30" s="25">
        <f>'Исходные данные'!$R$4</f>
        <v>620</v>
      </c>
      <c r="G30" s="25">
        <f>'Исходные данные'!$R$4</f>
        <v>620</v>
      </c>
      <c r="H30" s="25">
        <f>'Исходные данные'!$R$4</f>
        <v>620</v>
      </c>
      <c r="I30" s="25">
        <f>'Исходные данные'!$R$4</f>
        <v>620</v>
      </c>
      <c r="J30" s="25">
        <f>'Исходные данные'!$R$4</f>
        <v>620</v>
      </c>
      <c r="K30" s="25">
        <f>'Исходные данные'!$R$4</f>
        <v>620</v>
      </c>
      <c r="L30" s="25">
        <f>'Исходные данные'!$R$4</f>
        <v>620</v>
      </c>
      <c r="M30" s="25">
        <f>'Исходные данные'!$R$4</f>
        <v>620</v>
      </c>
      <c r="N30" s="25">
        <f>'Исходные данные'!$R$4</f>
        <v>620</v>
      </c>
      <c r="O30" s="25">
        <f>'Исходные данные'!$R$4</f>
        <v>620</v>
      </c>
      <c r="P30" s="25">
        <f>'Исходные данные'!$R$4</f>
        <v>620</v>
      </c>
      <c r="Q30" s="25">
        <f>'Исходные данные'!$R$4</f>
        <v>620</v>
      </c>
    </row>
    <row r="31" spans="1:18" ht="16.5" customHeight="1" x14ac:dyDescent="0.2">
      <c r="A31" s="23" t="s">
        <v>39</v>
      </c>
      <c r="B31" s="6" t="s">
        <v>13</v>
      </c>
      <c r="C31" s="25">
        <f t="shared" ref="C31:Q31" si="7">C30*4.1868</f>
        <v>2595.8159999999998</v>
      </c>
      <c r="D31" s="25">
        <f t="shared" si="7"/>
        <v>2595.8159999999998</v>
      </c>
      <c r="E31" s="25">
        <f t="shared" si="7"/>
        <v>2595.8159999999998</v>
      </c>
      <c r="F31" s="25">
        <f t="shared" si="7"/>
        <v>2595.8159999999998</v>
      </c>
      <c r="G31" s="25">
        <f t="shared" si="7"/>
        <v>2595.8159999999998</v>
      </c>
      <c r="H31" s="25">
        <f t="shared" si="7"/>
        <v>2595.8159999999998</v>
      </c>
      <c r="I31" s="25">
        <f t="shared" si="7"/>
        <v>2595.8159999999998</v>
      </c>
      <c r="J31" s="25">
        <f t="shared" si="7"/>
        <v>2595.8159999999998</v>
      </c>
      <c r="K31" s="25">
        <f t="shared" si="7"/>
        <v>2595.8159999999998</v>
      </c>
      <c r="L31" s="25">
        <f t="shared" si="7"/>
        <v>2595.8159999999998</v>
      </c>
      <c r="M31" s="25">
        <f t="shared" si="7"/>
        <v>2595.8159999999998</v>
      </c>
      <c r="N31" s="25">
        <f t="shared" si="7"/>
        <v>2595.8159999999998</v>
      </c>
      <c r="O31" s="25">
        <f t="shared" si="7"/>
        <v>2595.8159999999998</v>
      </c>
      <c r="P31" s="25">
        <f t="shared" si="7"/>
        <v>2595.8159999999998</v>
      </c>
      <c r="Q31" s="25">
        <f t="shared" si="7"/>
        <v>2595.8159999999998</v>
      </c>
    </row>
    <row r="32" spans="1:18" ht="15.75" customHeight="1" x14ac:dyDescent="0.2">
      <c r="A32" s="23"/>
      <c r="B32" s="6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8" ht="16.5" customHeight="1" x14ac:dyDescent="0.2">
      <c r="A33" s="26" t="s">
        <v>14</v>
      </c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51" customHeight="1" x14ac:dyDescent="0.2">
      <c r="A34" s="23" t="s">
        <v>15</v>
      </c>
      <c r="B34" s="6" t="s">
        <v>16</v>
      </c>
      <c r="C34" s="25">
        <f>'Котельные проект макс КПД котло'!G33</f>
        <v>39.770000000000003</v>
      </c>
      <c r="D34" s="25">
        <f>'Котельные проект макс КПД котло'!H33</f>
        <v>39.770000000000003</v>
      </c>
      <c r="E34" s="25">
        <f>'Котельные проект макс КПД котло'!I33</f>
        <v>85</v>
      </c>
      <c r="F34" s="25">
        <f>'Котельные проект макс КПД котло'!J33</f>
        <v>85</v>
      </c>
      <c r="G34" s="25">
        <f>'Котельные проект макс КПД котло'!K33</f>
        <v>85</v>
      </c>
      <c r="H34" s="25">
        <f>'Котельные проект макс КПД котло'!L33</f>
        <v>85</v>
      </c>
      <c r="I34" s="25">
        <f>'Котельные проект макс КПД котло'!M33</f>
        <v>85</v>
      </c>
      <c r="J34" s="25">
        <f>'Котельные проект макс КПД котло'!N33</f>
        <v>85</v>
      </c>
      <c r="K34" s="25">
        <f>'Котельные проект макс КПД котло'!O33</f>
        <v>85</v>
      </c>
      <c r="L34" s="25">
        <f>'Котельные проект макс КПД котло'!P33</f>
        <v>85</v>
      </c>
      <c r="M34" s="25">
        <f>'Котельные проект макс КПД котло'!Q33</f>
        <v>85</v>
      </c>
      <c r="N34" s="25">
        <f>'Котельные проект макс КПД котло'!R33</f>
        <v>85</v>
      </c>
      <c r="O34" s="25">
        <f>'Котельные проект макс КПД котло'!S33</f>
        <v>85</v>
      </c>
      <c r="P34" s="25">
        <f>'Котельные проект макс КПД котло'!T33</f>
        <v>85</v>
      </c>
      <c r="Q34" s="25">
        <f>'Котельные проект макс КПД котло'!U33</f>
        <v>85</v>
      </c>
    </row>
    <row r="35" spans="1:18" ht="16.5" customHeight="1" x14ac:dyDescent="0.2">
      <c r="A35" s="23" t="s">
        <v>17</v>
      </c>
      <c r="B35" s="6" t="s">
        <v>13</v>
      </c>
      <c r="C35" s="25">
        <f t="shared" ref="C35:Q35" si="8">C31/(C34/100)</f>
        <v>6527.0706562735713</v>
      </c>
      <c r="D35" s="25">
        <f t="shared" si="8"/>
        <v>6527.0706562735713</v>
      </c>
      <c r="E35" s="25">
        <f t="shared" si="8"/>
        <v>3053.9011764705879</v>
      </c>
      <c r="F35" s="25">
        <f t="shared" si="8"/>
        <v>3053.9011764705879</v>
      </c>
      <c r="G35" s="25">
        <f t="shared" si="8"/>
        <v>3053.9011764705879</v>
      </c>
      <c r="H35" s="25">
        <f t="shared" si="8"/>
        <v>3053.9011764705879</v>
      </c>
      <c r="I35" s="25">
        <f t="shared" si="8"/>
        <v>3053.9011764705879</v>
      </c>
      <c r="J35" s="25">
        <f t="shared" si="8"/>
        <v>3053.9011764705879</v>
      </c>
      <c r="K35" s="25">
        <f t="shared" si="8"/>
        <v>3053.9011764705879</v>
      </c>
      <c r="L35" s="25">
        <f t="shared" si="8"/>
        <v>3053.9011764705879</v>
      </c>
      <c r="M35" s="25">
        <f t="shared" si="8"/>
        <v>3053.9011764705879</v>
      </c>
      <c r="N35" s="25">
        <f t="shared" si="8"/>
        <v>3053.9011764705879</v>
      </c>
      <c r="O35" s="25">
        <f t="shared" si="8"/>
        <v>3053.9011764705879</v>
      </c>
      <c r="P35" s="25">
        <f t="shared" si="8"/>
        <v>3053.9011764705879</v>
      </c>
      <c r="Q35" s="25">
        <f t="shared" si="8"/>
        <v>3053.9011764705879</v>
      </c>
    </row>
    <row r="36" spans="1:18" ht="16.5" customHeight="1" x14ac:dyDescent="0.2">
      <c r="A36" s="23" t="s">
        <v>40</v>
      </c>
      <c r="B36" s="6" t="s">
        <v>41</v>
      </c>
      <c r="C36" s="29">
        <f t="shared" ref="C36:Q36" si="9">94.6/1000</f>
        <v>9.459999999999999E-2</v>
      </c>
      <c r="D36" s="29">
        <f t="shared" si="9"/>
        <v>9.459999999999999E-2</v>
      </c>
      <c r="E36" s="29">
        <f t="shared" si="9"/>
        <v>9.459999999999999E-2</v>
      </c>
      <c r="F36" s="29">
        <f t="shared" si="9"/>
        <v>9.459999999999999E-2</v>
      </c>
      <c r="G36" s="29">
        <f t="shared" si="9"/>
        <v>9.459999999999999E-2</v>
      </c>
      <c r="H36" s="29">
        <f t="shared" si="9"/>
        <v>9.459999999999999E-2</v>
      </c>
      <c r="I36" s="29">
        <f t="shared" si="9"/>
        <v>9.459999999999999E-2</v>
      </c>
      <c r="J36" s="29">
        <f t="shared" si="9"/>
        <v>9.459999999999999E-2</v>
      </c>
      <c r="K36" s="29">
        <f t="shared" si="9"/>
        <v>9.459999999999999E-2</v>
      </c>
      <c r="L36" s="29">
        <f t="shared" si="9"/>
        <v>9.459999999999999E-2</v>
      </c>
      <c r="M36" s="29">
        <f t="shared" si="9"/>
        <v>9.459999999999999E-2</v>
      </c>
      <c r="N36" s="29">
        <f t="shared" si="9"/>
        <v>9.459999999999999E-2</v>
      </c>
      <c r="O36" s="29">
        <f t="shared" si="9"/>
        <v>9.459999999999999E-2</v>
      </c>
      <c r="P36" s="29">
        <f t="shared" si="9"/>
        <v>9.459999999999999E-2</v>
      </c>
      <c r="Q36" s="29">
        <f t="shared" si="9"/>
        <v>9.459999999999999E-2</v>
      </c>
      <c r="R36" t="s">
        <v>23</v>
      </c>
    </row>
    <row r="37" spans="1:18" ht="15.75" customHeight="1" x14ac:dyDescent="0.2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8" ht="16.5" customHeight="1" x14ac:dyDescent="0.2">
      <c r="A38" s="31" t="s">
        <v>18</v>
      </c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  <row r="39" spans="1:18" ht="16.5" customHeight="1" x14ac:dyDescent="0.2">
      <c r="A39" s="44" t="s">
        <v>19</v>
      </c>
      <c r="B39" s="6" t="s">
        <v>20</v>
      </c>
      <c r="C39" s="25">
        <f>C30*'Исходные данные'!$R$16</f>
        <v>82.460000000000008</v>
      </c>
      <c r="D39" s="25">
        <f>D30*'Исходные данные'!$R$16</f>
        <v>82.460000000000008</v>
      </c>
      <c r="E39" s="25">
        <f>E30*'Исходные данные'!$R$16</f>
        <v>82.460000000000008</v>
      </c>
      <c r="F39" s="25">
        <f>F30*'Исходные данные'!$R$16</f>
        <v>82.460000000000008</v>
      </c>
      <c r="G39" s="25">
        <f>G30*'Исходные данные'!$R$16</f>
        <v>82.460000000000008</v>
      </c>
      <c r="H39" s="25">
        <f>H30*'Исходные данные'!$R$16</f>
        <v>82.460000000000008</v>
      </c>
      <c r="I39" s="25">
        <f>I30*'Исходные данные'!$R$16</f>
        <v>82.460000000000008</v>
      </c>
      <c r="J39" s="25">
        <f>J30*'Исходные данные'!$R$16</f>
        <v>82.460000000000008</v>
      </c>
      <c r="K39" s="25">
        <f>K30*'Исходные данные'!$R$16</f>
        <v>82.460000000000008</v>
      </c>
      <c r="L39" s="25">
        <f>L30*'Исходные данные'!$R$16</f>
        <v>82.460000000000008</v>
      </c>
      <c r="M39" s="25">
        <f>M30*'Исходные данные'!$R$16</f>
        <v>82.460000000000008</v>
      </c>
      <c r="N39" s="25">
        <f>N30*'Исходные данные'!$R$16</f>
        <v>82.460000000000008</v>
      </c>
      <c r="O39" s="25">
        <f>O30*'Исходные данные'!$R$16</f>
        <v>82.460000000000008</v>
      </c>
      <c r="P39" s="25">
        <f>P30*'Исходные данные'!$R$16</f>
        <v>82.460000000000008</v>
      </c>
      <c r="Q39" s="25">
        <f>Q30*'Исходные данные'!$R$16</f>
        <v>82.460000000000008</v>
      </c>
    </row>
    <row r="40" spans="1:18" ht="16.5" customHeight="1" x14ac:dyDescent="0.2">
      <c r="A40" s="23" t="s">
        <v>21</v>
      </c>
      <c r="B40" s="6" t="s">
        <v>22</v>
      </c>
      <c r="C40" s="25">
        <v>1.7949999999999999</v>
      </c>
      <c r="D40" s="25">
        <v>1.7949999999999999</v>
      </c>
      <c r="E40" s="25">
        <v>1.7949999999999999</v>
      </c>
      <c r="F40" s="25">
        <v>1.7949999999999999</v>
      </c>
      <c r="G40" s="25">
        <v>1.7949999999999999</v>
      </c>
      <c r="H40" s="25">
        <v>1.7949999999999999</v>
      </c>
      <c r="I40" s="25">
        <v>1.7949999999999999</v>
      </c>
      <c r="J40" s="25">
        <v>1.7949999999999999</v>
      </c>
      <c r="K40" s="25">
        <v>1.7949999999999999</v>
      </c>
      <c r="L40" s="25">
        <v>1.7949999999999999</v>
      </c>
      <c r="M40" s="25">
        <v>1.7949999999999999</v>
      </c>
      <c r="N40" s="25">
        <v>1.7949999999999999</v>
      </c>
      <c r="O40" s="25">
        <v>1.7949999999999999</v>
      </c>
      <c r="P40" s="25">
        <v>1.7949999999999999</v>
      </c>
      <c r="Q40" s="25">
        <v>1.7949999999999999</v>
      </c>
      <c r="R40" t="s">
        <v>23</v>
      </c>
    </row>
    <row r="41" spans="1:18" ht="15.75" customHeight="1" x14ac:dyDescent="0.2">
      <c r="A41" s="23"/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51" customHeight="1" x14ac:dyDescent="0.2">
      <c r="A42" s="23" t="s">
        <v>24</v>
      </c>
      <c r="B42" s="6" t="s">
        <v>25</v>
      </c>
      <c r="C42" s="25">
        <f>'Исходные данные'!$R$11/1000</f>
        <v>33.674999999999997</v>
      </c>
      <c r="D42" s="25">
        <f>'Исходные данные'!$R$11/1000</f>
        <v>33.674999999999997</v>
      </c>
      <c r="E42" s="25">
        <f>'Исходные данные'!$R$11/1000</f>
        <v>33.674999999999997</v>
      </c>
      <c r="F42" s="25">
        <f>'Исходные данные'!$R$11/1000</f>
        <v>33.674999999999997</v>
      </c>
      <c r="G42" s="25">
        <f>'Исходные данные'!$R$11/1000</f>
        <v>33.674999999999997</v>
      </c>
      <c r="H42" s="25">
        <f>'Исходные данные'!$R$11/1000</f>
        <v>33.674999999999997</v>
      </c>
      <c r="I42" s="25">
        <f>'Исходные данные'!$R$11/1000</f>
        <v>33.674999999999997</v>
      </c>
      <c r="J42" s="25">
        <f>'Исходные данные'!$R$11/1000</f>
        <v>33.674999999999997</v>
      </c>
      <c r="K42" s="25">
        <f>'Исходные данные'!$R$11/1000</f>
        <v>33.674999999999997</v>
      </c>
      <c r="L42" s="25">
        <f>'Исходные данные'!$R$11/1000</f>
        <v>33.674999999999997</v>
      </c>
      <c r="M42" s="25">
        <f>'Исходные данные'!$R$11/1000</f>
        <v>33.674999999999997</v>
      </c>
      <c r="N42" s="25">
        <f>'Исходные данные'!$R$11/1000</f>
        <v>33.674999999999997</v>
      </c>
      <c r="O42" s="25">
        <f>'Исходные данные'!$R$11/1000</f>
        <v>33.674999999999997</v>
      </c>
      <c r="P42" s="25">
        <f>'Исходные данные'!$R$11/1000</f>
        <v>33.674999999999997</v>
      </c>
      <c r="Q42" s="25">
        <f>'Исходные данные'!$R$11/1000</f>
        <v>33.674999999999997</v>
      </c>
    </row>
    <row r="43" spans="1:18" ht="33.75" customHeight="1" x14ac:dyDescent="0.2">
      <c r="A43" s="23" t="s">
        <v>26</v>
      </c>
      <c r="B43" s="6" t="s">
        <v>27</v>
      </c>
      <c r="C43" s="25">
        <v>0.33560000000000001</v>
      </c>
      <c r="D43" s="25">
        <v>0.33560000000000001</v>
      </c>
      <c r="E43" s="25">
        <v>0.33560000000000001</v>
      </c>
      <c r="F43" s="25">
        <v>0.33560000000000001</v>
      </c>
      <c r="G43" s="25">
        <v>0.33560000000000001</v>
      </c>
      <c r="H43" s="25">
        <v>0.33560000000000001</v>
      </c>
      <c r="I43" s="25">
        <v>0.33560000000000001</v>
      </c>
      <c r="J43" s="25">
        <v>0.33560000000000001</v>
      </c>
      <c r="K43" s="25">
        <v>0.33560000000000001</v>
      </c>
      <c r="L43" s="25">
        <v>0.33560000000000001</v>
      </c>
      <c r="M43" s="25">
        <v>0.33560000000000001</v>
      </c>
      <c r="N43" s="25">
        <v>0.33560000000000001</v>
      </c>
      <c r="O43" s="25">
        <v>0.33560000000000001</v>
      </c>
      <c r="P43" s="25">
        <v>0.33560000000000001</v>
      </c>
      <c r="Q43" s="25">
        <v>0.33560000000000001</v>
      </c>
      <c r="R43" t="s">
        <v>28</v>
      </c>
    </row>
    <row r="44" spans="1:18" ht="15.75" customHeight="1" x14ac:dyDescent="0.2">
      <c r="A44" s="23"/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8" ht="16.5" customHeight="1" x14ac:dyDescent="0.2">
      <c r="A45" s="34" t="s">
        <v>29</v>
      </c>
      <c r="B45" s="35" t="s">
        <v>4</v>
      </c>
      <c r="C45" s="36">
        <f t="shared" ref="C45:Q45" si="10">ROUND(C39*C40+C42*C43,0)</f>
        <v>159</v>
      </c>
      <c r="D45" s="36">
        <f t="shared" si="10"/>
        <v>159</v>
      </c>
      <c r="E45" s="36">
        <f t="shared" si="10"/>
        <v>159</v>
      </c>
      <c r="F45" s="36">
        <f t="shared" si="10"/>
        <v>159</v>
      </c>
      <c r="G45" s="36">
        <f t="shared" si="10"/>
        <v>159</v>
      </c>
      <c r="H45" s="36">
        <f t="shared" si="10"/>
        <v>159</v>
      </c>
      <c r="I45" s="36">
        <f t="shared" si="10"/>
        <v>159</v>
      </c>
      <c r="J45" s="36">
        <f t="shared" si="10"/>
        <v>159</v>
      </c>
      <c r="K45" s="36">
        <f t="shared" si="10"/>
        <v>159</v>
      </c>
      <c r="L45" s="36">
        <f t="shared" si="10"/>
        <v>159</v>
      </c>
      <c r="M45" s="36">
        <f t="shared" si="10"/>
        <v>159</v>
      </c>
      <c r="N45" s="36">
        <f t="shared" si="10"/>
        <v>159</v>
      </c>
      <c r="O45" s="36">
        <f t="shared" si="10"/>
        <v>159</v>
      </c>
      <c r="P45" s="36">
        <f t="shared" si="10"/>
        <v>159</v>
      </c>
      <c r="Q45" s="36">
        <f t="shared" si="10"/>
        <v>159</v>
      </c>
    </row>
    <row r="46" spans="1:18" ht="15.75" customHeight="1" x14ac:dyDescent="0.2">
      <c r="A46" s="23"/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8" ht="16.5" customHeight="1" x14ac:dyDescent="0.2">
      <c r="A47" s="26" t="s">
        <v>30</v>
      </c>
      <c r="B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33.75" customHeight="1" x14ac:dyDescent="0.2">
      <c r="A48" s="23" t="s">
        <v>31</v>
      </c>
      <c r="B48" s="6" t="s">
        <v>32</v>
      </c>
      <c r="C48" s="25">
        <v>2.9</v>
      </c>
      <c r="D48" s="25">
        <v>2.9</v>
      </c>
      <c r="E48" s="25">
        <v>2.9</v>
      </c>
      <c r="F48" s="25">
        <v>2.9</v>
      </c>
      <c r="G48" s="25">
        <v>2.9</v>
      </c>
      <c r="H48" s="25">
        <v>2.9</v>
      </c>
      <c r="I48" s="25">
        <v>2.9</v>
      </c>
      <c r="J48" s="25">
        <v>2.9</v>
      </c>
      <c r="K48" s="25">
        <v>2.9</v>
      </c>
      <c r="L48" s="25">
        <v>2.9</v>
      </c>
      <c r="M48" s="25">
        <v>2.9</v>
      </c>
      <c r="N48" s="25">
        <v>2.9</v>
      </c>
      <c r="O48" s="25">
        <v>2.9</v>
      </c>
      <c r="P48" s="25">
        <v>2.9</v>
      </c>
      <c r="Q48" s="25">
        <v>2.9</v>
      </c>
      <c r="R48" s="37" t="s">
        <v>33</v>
      </c>
    </row>
    <row r="49" spans="1:18" ht="33.75" customHeight="1" x14ac:dyDescent="0.2">
      <c r="A49" s="23" t="s">
        <v>34</v>
      </c>
      <c r="B49" s="6" t="s">
        <v>32</v>
      </c>
      <c r="C49" s="25">
        <v>5.8</v>
      </c>
      <c r="D49" s="25">
        <v>5.8</v>
      </c>
      <c r="E49" s="25">
        <v>5.8</v>
      </c>
      <c r="F49" s="25">
        <v>5.8</v>
      </c>
      <c r="G49" s="25">
        <v>5.8</v>
      </c>
      <c r="H49" s="25">
        <v>5.8</v>
      </c>
      <c r="I49" s="25">
        <v>5.8</v>
      </c>
      <c r="J49" s="25">
        <v>5.8</v>
      </c>
      <c r="K49" s="25">
        <v>5.8</v>
      </c>
      <c r="L49" s="25">
        <v>5.8</v>
      </c>
      <c r="M49" s="25">
        <v>5.8</v>
      </c>
      <c r="N49" s="25">
        <v>5.8</v>
      </c>
      <c r="O49" s="25">
        <v>5.8</v>
      </c>
      <c r="P49" s="25">
        <v>5.8</v>
      </c>
      <c r="Q49" s="25">
        <v>5.8</v>
      </c>
      <c r="R49" s="37" t="s">
        <v>33</v>
      </c>
    </row>
    <row r="50" spans="1:18" ht="33.75" customHeight="1" x14ac:dyDescent="0.2">
      <c r="A50" s="38" t="s">
        <v>35</v>
      </c>
      <c r="B50" s="6" t="s">
        <v>4</v>
      </c>
      <c r="C50" s="25">
        <f t="shared" ref="C50:Q50" si="11">C48*(C39*33.08/1000)</f>
        <v>7.9105527200000001</v>
      </c>
      <c r="D50" s="25">
        <f t="shared" si="11"/>
        <v>7.9105527200000001</v>
      </c>
      <c r="E50" s="25">
        <f t="shared" si="11"/>
        <v>7.9105527200000001</v>
      </c>
      <c r="F50" s="25">
        <f t="shared" si="11"/>
        <v>7.9105527200000001</v>
      </c>
      <c r="G50" s="25">
        <f t="shared" si="11"/>
        <v>7.9105527200000001</v>
      </c>
      <c r="H50" s="25">
        <f t="shared" si="11"/>
        <v>7.9105527200000001</v>
      </c>
      <c r="I50" s="25">
        <f t="shared" si="11"/>
        <v>7.9105527200000001</v>
      </c>
      <c r="J50" s="25">
        <f t="shared" si="11"/>
        <v>7.9105527200000001</v>
      </c>
      <c r="K50" s="25">
        <f t="shared" si="11"/>
        <v>7.9105527200000001</v>
      </c>
      <c r="L50" s="25">
        <f t="shared" si="11"/>
        <v>7.9105527200000001</v>
      </c>
      <c r="M50" s="25">
        <f t="shared" si="11"/>
        <v>7.9105527200000001</v>
      </c>
      <c r="N50" s="25">
        <f t="shared" si="11"/>
        <v>7.9105527200000001</v>
      </c>
      <c r="O50" s="25">
        <f t="shared" si="11"/>
        <v>7.9105527200000001</v>
      </c>
      <c r="P50" s="25">
        <f t="shared" si="11"/>
        <v>7.9105527200000001</v>
      </c>
      <c r="Q50" s="25">
        <f t="shared" si="11"/>
        <v>7.9105527200000001</v>
      </c>
    </row>
    <row r="51" spans="1:18" ht="33.75" customHeight="1" x14ac:dyDescent="0.2">
      <c r="A51" s="38" t="s">
        <v>36</v>
      </c>
      <c r="B51" s="6" t="s">
        <v>4</v>
      </c>
      <c r="C51" s="25">
        <f t="shared" ref="C51:Q51" si="12">C49*(C35/1000)</f>
        <v>37.857009806386714</v>
      </c>
      <c r="D51" s="25">
        <f t="shared" si="12"/>
        <v>37.857009806386714</v>
      </c>
      <c r="E51" s="25">
        <f t="shared" si="12"/>
        <v>17.712626823529408</v>
      </c>
      <c r="F51" s="25">
        <f t="shared" si="12"/>
        <v>17.712626823529408</v>
      </c>
      <c r="G51" s="25">
        <f t="shared" si="12"/>
        <v>17.712626823529408</v>
      </c>
      <c r="H51" s="25">
        <f t="shared" si="12"/>
        <v>17.712626823529408</v>
      </c>
      <c r="I51" s="25">
        <f t="shared" si="12"/>
        <v>17.712626823529408</v>
      </c>
      <c r="J51" s="25">
        <f t="shared" si="12"/>
        <v>17.712626823529408</v>
      </c>
      <c r="K51" s="25">
        <f t="shared" si="12"/>
        <v>17.712626823529408</v>
      </c>
      <c r="L51" s="25">
        <f t="shared" si="12"/>
        <v>17.712626823529408</v>
      </c>
      <c r="M51" s="25">
        <f t="shared" si="12"/>
        <v>17.712626823529408</v>
      </c>
      <c r="N51" s="25">
        <f t="shared" si="12"/>
        <v>17.712626823529408</v>
      </c>
      <c r="O51" s="25">
        <f t="shared" si="12"/>
        <v>17.712626823529408</v>
      </c>
      <c r="P51" s="25">
        <f t="shared" si="12"/>
        <v>17.712626823529408</v>
      </c>
      <c r="Q51" s="25">
        <f t="shared" si="12"/>
        <v>17.712626823529408</v>
      </c>
    </row>
    <row r="52" spans="1:18" ht="16.5" customHeight="1" x14ac:dyDescent="0.2">
      <c r="A52" s="39" t="s">
        <v>30</v>
      </c>
      <c r="B52" s="6" t="s">
        <v>4</v>
      </c>
      <c r="C52" s="29">
        <f t="shared" ref="C52:Q52" si="13">C50-C51</f>
        <v>-29.946457086386715</v>
      </c>
      <c r="D52" s="29">
        <f t="shared" si="13"/>
        <v>-29.946457086386715</v>
      </c>
      <c r="E52" s="29">
        <f t="shared" si="13"/>
        <v>-9.8020741035294083</v>
      </c>
      <c r="F52" s="29">
        <f t="shared" si="13"/>
        <v>-9.8020741035294083</v>
      </c>
      <c r="G52" s="29">
        <f t="shared" si="13"/>
        <v>-9.8020741035294083</v>
      </c>
      <c r="H52" s="29">
        <f t="shared" si="13"/>
        <v>-9.8020741035294083</v>
      </c>
      <c r="I52" s="29">
        <f t="shared" si="13"/>
        <v>-9.8020741035294083</v>
      </c>
      <c r="J52" s="29">
        <f t="shared" si="13"/>
        <v>-9.8020741035294083</v>
      </c>
      <c r="K52" s="29">
        <f t="shared" si="13"/>
        <v>-9.8020741035294083</v>
      </c>
      <c r="L52" s="29">
        <f t="shared" si="13"/>
        <v>-9.8020741035294083</v>
      </c>
      <c r="M52" s="29">
        <f t="shared" si="13"/>
        <v>-9.8020741035294083</v>
      </c>
      <c r="N52" s="29">
        <f t="shared" si="13"/>
        <v>-9.8020741035294083</v>
      </c>
      <c r="O52" s="29">
        <f t="shared" si="13"/>
        <v>-9.8020741035294083</v>
      </c>
      <c r="P52" s="29">
        <f t="shared" si="13"/>
        <v>-9.8020741035294083</v>
      </c>
      <c r="Q52" s="29">
        <f t="shared" si="13"/>
        <v>-9.8020741035294083</v>
      </c>
    </row>
    <row r="54" spans="1:18" ht="15.75" customHeight="1" x14ac:dyDescent="0.2">
      <c r="A54" s="21" t="s">
        <v>42</v>
      </c>
      <c r="B54" s="22" t="s">
        <v>3</v>
      </c>
      <c r="C54" s="22">
        <v>2027</v>
      </c>
      <c r="D54" s="22">
        <v>2028</v>
      </c>
      <c r="E54" s="22">
        <v>2029</v>
      </c>
      <c r="F54" s="22">
        <v>2030</v>
      </c>
      <c r="G54" s="22">
        <v>2031</v>
      </c>
      <c r="H54" s="22">
        <v>2032</v>
      </c>
      <c r="I54" s="22">
        <v>2033</v>
      </c>
      <c r="J54" s="22">
        <v>2034</v>
      </c>
      <c r="K54" s="22">
        <v>2035</v>
      </c>
      <c r="L54" s="22">
        <v>2036</v>
      </c>
      <c r="M54" s="22">
        <v>2037</v>
      </c>
      <c r="N54" s="22">
        <v>2038</v>
      </c>
      <c r="O54" s="22">
        <v>2039</v>
      </c>
      <c r="P54" s="22">
        <v>2040</v>
      </c>
      <c r="Q54" s="22">
        <v>2041</v>
      </c>
    </row>
    <row r="55" spans="1:18" ht="16.5" customHeight="1" x14ac:dyDescent="0.2">
      <c r="A55" s="23"/>
      <c r="B55" s="6" t="s">
        <v>10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8" ht="16.5" customHeight="1" x14ac:dyDescent="0.2">
      <c r="A56" s="23" t="s">
        <v>11</v>
      </c>
      <c r="B56" s="6" t="s">
        <v>12</v>
      </c>
      <c r="C56" s="25">
        <f>'Исходные данные'!$U$4</f>
        <v>2649</v>
      </c>
      <c r="D56" s="25">
        <f>'Исходные данные'!$U$4</f>
        <v>2649</v>
      </c>
      <c r="E56" s="25">
        <f>'Исходные данные'!$U$4</f>
        <v>2649</v>
      </c>
      <c r="F56" s="25">
        <f>'Исходные данные'!$U$4</f>
        <v>2649</v>
      </c>
      <c r="G56" s="25">
        <f>'Исходные данные'!$U$4</f>
        <v>2649</v>
      </c>
      <c r="H56" s="25">
        <f>'Исходные данные'!$U$4</f>
        <v>2649</v>
      </c>
      <c r="I56" s="25">
        <f>'Исходные данные'!$U$4</f>
        <v>2649</v>
      </c>
      <c r="J56" s="25">
        <f>'Исходные данные'!$U$4</f>
        <v>2649</v>
      </c>
      <c r="K56" s="25">
        <f>'Исходные данные'!$U$4</f>
        <v>2649</v>
      </c>
      <c r="L56" s="25">
        <f>'Исходные данные'!$U$4</f>
        <v>2649</v>
      </c>
      <c r="M56" s="25">
        <f>'Исходные данные'!$U$4</f>
        <v>2649</v>
      </c>
      <c r="N56" s="25">
        <f>'Исходные данные'!$U$4</f>
        <v>2649</v>
      </c>
      <c r="O56" s="25">
        <f>'Исходные данные'!$U$4</f>
        <v>2649</v>
      </c>
      <c r="P56" s="25">
        <f>'Исходные данные'!$U$4</f>
        <v>2649</v>
      </c>
      <c r="Q56" s="25">
        <f>'Исходные данные'!$U$4</f>
        <v>2649</v>
      </c>
    </row>
    <row r="57" spans="1:18" ht="16.5" customHeight="1" x14ac:dyDescent="0.2">
      <c r="A57" s="23" t="s">
        <v>11</v>
      </c>
      <c r="B57" s="6" t="s">
        <v>13</v>
      </c>
      <c r="C57" s="25">
        <f t="shared" ref="C57:Q57" si="14">C56*4.1868</f>
        <v>11090.833199999999</v>
      </c>
      <c r="D57" s="25">
        <f t="shared" si="14"/>
        <v>11090.833199999999</v>
      </c>
      <c r="E57" s="25">
        <f t="shared" si="14"/>
        <v>11090.833199999999</v>
      </c>
      <c r="F57" s="25">
        <f t="shared" si="14"/>
        <v>11090.833199999999</v>
      </c>
      <c r="G57" s="25">
        <f t="shared" si="14"/>
        <v>11090.833199999999</v>
      </c>
      <c r="H57" s="25">
        <f t="shared" si="14"/>
        <v>11090.833199999999</v>
      </c>
      <c r="I57" s="25">
        <f t="shared" si="14"/>
        <v>11090.833199999999</v>
      </c>
      <c r="J57" s="25">
        <f t="shared" si="14"/>
        <v>11090.833199999999</v>
      </c>
      <c r="K57" s="25">
        <f t="shared" si="14"/>
        <v>11090.833199999999</v>
      </c>
      <c r="L57" s="25">
        <f t="shared" si="14"/>
        <v>11090.833199999999</v>
      </c>
      <c r="M57" s="25">
        <f t="shared" si="14"/>
        <v>11090.833199999999</v>
      </c>
      <c r="N57" s="25">
        <f t="shared" si="14"/>
        <v>11090.833199999999</v>
      </c>
      <c r="O57" s="25">
        <f t="shared" si="14"/>
        <v>11090.833199999999</v>
      </c>
      <c r="P57" s="25">
        <f t="shared" si="14"/>
        <v>11090.833199999999</v>
      </c>
      <c r="Q57" s="25">
        <f t="shared" si="14"/>
        <v>11090.833199999999</v>
      </c>
    </row>
    <row r="58" spans="1:18" ht="15.75" customHeight="1" x14ac:dyDescent="0.2">
      <c r="A58" s="23"/>
      <c r="B58" s="6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8" ht="16.5" customHeight="1" x14ac:dyDescent="0.2">
      <c r="A59" s="26" t="s">
        <v>14</v>
      </c>
      <c r="B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51" customHeight="1" x14ac:dyDescent="0.2">
      <c r="A60" s="23" t="s">
        <v>15</v>
      </c>
      <c r="B60" s="6" t="s">
        <v>16</v>
      </c>
      <c r="C60" s="25">
        <f>'Котельные проект макс КПД котло'!G34</f>
        <v>67.010000000000005</v>
      </c>
      <c r="D60" s="25">
        <f>'Котельные проект макс КПД котло'!H34</f>
        <v>67.010000000000005</v>
      </c>
      <c r="E60" s="25">
        <f>'Котельные проект макс КПД котло'!I34</f>
        <v>67.010000000000005</v>
      </c>
      <c r="F60" s="25">
        <f>'Котельные проект макс КПД котло'!J34</f>
        <v>79.66</v>
      </c>
      <c r="G60" s="25">
        <f>'Котельные проект макс КПД котло'!K34</f>
        <v>79.66</v>
      </c>
      <c r="H60" s="25">
        <f>'Котельные проект макс КПД котло'!L34</f>
        <v>79.66</v>
      </c>
      <c r="I60" s="25">
        <f>'Котельные проект макс КПД котло'!M34</f>
        <v>79.66</v>
      </c>
      <c r="J60" s="25">
        <f>'Котельные проект макс КПД котло'!N34</f>
        <v>79.66</v>
      </c>
      <c r="K60" s="25">
        <f>'Котельные проект макс КПД котло'!O34</f>
        <v>79.66</v>
      </c>
      <c r="L60" s="25">
        <f>'Котельные проект макс КПД котло'!P34</f>
        <v>79.66</v>
      </c>
      <c r="M60" s="25">
        <f>'Котельные проект макс КПД котло'!Q34</f>
        <v>79.66</v>
      </c>
      <c r="N60" s="25">
        <f>'Котельные проект макс КПД котло'!R34</f>
        <v>90</v>
      </c>
      <c r="O60" s="25">
        <f>'Котельные проект макс КПД котло'!S34</f>
        <v>90</v>
      </c>
      <c r="P60" s="25">
        <f>'Котельные проект макс КПД котло'!T34</f>
        <v>90</v>
      </c>
      <c r="Q60" s="25">
        <f>'Котельные проект макс КПД котло'!U34</f>
        <v>90</v>
      </c>
    </row>
    <row r="61" spans="1:18" ht="16.5" customHeight="1" x14ac:dyDescent="0.2">
      <c r="A61" s="23" t="s">
        <v>43</v>
      </c>
      <c r="B61" s="6" t="s">
        <v>13</v>
      </c>
      <c r="C61" s="25">
        <f t="shared" ref="C61:Q61" si="15">C57/(C60/100)</f>
        <v>16551.012087748095</v>
      </c>
      <c r="D61" s="25">
        <f t="shared" si="15"/>
        <v>16551.012087748095</v>
      </c>
      <c r="E61" s="25">
        <f t="shared" si="15"/>
        <v>16551.012087748095</v>
      </c>
      <c r="F61" s="25">
        <f t="shared" si="15"/>
        <v>13922.713030379111</v>
      </c>
      <c r="G61" s="25">
        <f t="shared" si="15"/>
        <v>13922.713030379111</v>
      </c>
      <c r="H61" s="25">
        <f t="shared" si="15"/>
        <v>13922.713030379111</v>
      </c>
      <c r="I61" s="25">
        <f t="shared" si="15"/>
        <v>13922.713030379111</v>
      </c>
      <c r="J61" s="25">
        <f t="shared" si="15"/>
        <v>13922.713030379111</v>
      </c>
      <c r="K61" s="25">
        <f t="shared" si="15"/>
        <v>13922.713030379111</v>
      </c>
      <c r="L61" s="25">
        <f t="shared" si="15"/>
        <v>13922.713030379111</v>
      </c>
      <c r="M61" s="25">
        <f t="shared" si="15"/>
        <v>13922.713030379111</v>
      </c>
      <c r="N61" s="25">
        <f t="shared" si="15"/>
        <v>12323.147999999999</v>
      </c>
      <c r="O61" s="25">
        <f t="shared" si="15"/>
        <v>12323.147999999999</v>
      </c>
      <c r="P61" s="25">
        <f t="shared" si="15"/>
        <v>12323.147999999999</v>
      </c>
      <c r="Q61" s="25">
        <f t="shared" si="15"/>
        <v>12323.147999999999</v>
      </c>
    </row>
    <row r="62" spans="1:18" ht="15.75" customHeight="1" x14ac:dyDescent="0.2">
      <c r="A62" s="30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8" ht="16.5" customHeight="1" x14ac:dyDescent="0.2">
      <c r="A63" s="31" t="s">
        <v>18</v>
      </c>
      <c r="B63" s="3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  <row r="64" spans="1:18" ht="16.5" customHeight="1" x14ac:dyDescent="0.2">
      <c r="A64" s="23" t="s">
        <v>19</v>
      </c>
      <c r="B64" s="6" t="s">
        <v>20</v>
      </c>
      <c r="C64" s="25">
        <f>C56*'Исходные данные'!$U$16</f>
        <v>352.31700000000001</v>
      </c>
      <c r="D64" s="25">
        <f>D56*'Исходные данные'!$U$16</f>
        <v>352.31700000000001</v>
      </c>
      <c r="E64" s="25">
        <f>E56*'Исходные данные'!$U$16</f>
        <v>352.31700000000001</v>
      </c>
      <c r="F64" s="25">
        <f>F56*'Исходные данные'!$U$16</f>
        <v>352.31700000000001</v>
      </c>
      <c r="G64" s="25">
        <f>G56*'Исходные данные'!$U$16</f>
        <v>352.31700000000001</v>
      </c>
      <c r="H64" s="25">
        <f>H56*'Исходные данные'!$U$16</f>
        <v>352.31700000000001</v>
      </c>
      <c r="I64" s="25">
        <f>I56*'Исходные данные'!$U$16</f>
        <v>352.31700000000001</v>
      </c>
      <c r="J64" s="25">
        <f>J56*'Исходные данные'!$U$16</f>
        <v>352.31700000000001</v>
      </c>
      <c r="K64" s="25">
        <f>K56*'Исходные данные'!$U$16</f>
        <v>352.31700000000001</v>
      </c>
      <c r="L64" s="25">
        <f>L56*'Исходные данные'!$U$16</f>
        <v>352.31700000000001</v>
      </c>
      <c r="M64" s="25">
        <f>M56*'Исходные данные'!$U$16</f>
        <v>352.31700000000001</v>
      </c>
      <c r="N64" s="25">
        <f>N56*'Исходные данные'!$U$16</f>
        <v>352.31700000000001</v>
      </c>
      <c r="O64" s="25">
        <f>O56*'Исходные данные'!$U$16</f>
        <v>352.31700000000001</v>
      </c>
      <c r="P64" s="25">
        <f>P56*'Исходные данные'!$U$16</f>
        <v>352.31700000000001</v>
      </c>
      <c r="Q64" s="25">
        <f>Q56*'Исходные данные'!$U$16</f>
        <v>352.31700000000001</v>
      </c>
    </row>
    <row r="65" spans="1:18" ht="16.5" customHeight="1" x14ac:dyDescent="0.2">
      <c r="A65" s="23" t="s">
        <v>21</v>
      </c>
      <c r="B65" s="6" t="s">
        <v>22</v>
      </c>
      <c r="C65" s="25">
        <v>1.7949999999999999</v>
      </c>
      <c r="D65" s="25">
        <v>1.7949999999999999</v>
      </c>
      <c r="E65" s="25">
        <v>1.7949999999999999</v>
      </c>
      <c r="F65" s="25">
        <v>1.7949999999999999</v>
      </c>
      <c r="G65" s="25">
        <v>1.7949999999999999</v>
      </c>
      <c r="H65" s="25">
        <v>1.7949999999999999</v>
      </c>
      <c r="I65" s="25">
        <v>1.7949999999999999</v>
      </c>
      <c r="J65" s="25">
        <v>1.7949999999999999</v>
      </c>
      <c r="K65" s="25">
        <v>1.7949999999999999</v>
      </c>
      <c r="L65" s="25">
        <v>1.7949999999999999</v>
      </c>
      <c r="M65" s="25">
        <v>1.7949999999999999</v>
      </c>
      <c r="N65" s="25">
        <v>1.7949999999999999</v>
      </c>
      <c r="O65" s="25">
        <v>1.7949999999999999</v>
      </c>
      <c r="P65" s="25">
        <v>1.7949999999999999</v>
      </c>
      <c r="Q65" s="25">
        <v>1.7949999999999999</v>
      </c>
      <c r="R65" t="s">
        <v>23</v>
      </c>
    </row>
    <row r="66" spans="1:18" ht="15.75" customHeight="1" x14ac:dyDescent="0.2">
      <c r="A66" s="23"/>
      <c r="B66" s="6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8" ht="51" customHeight="1" x14ac:dyDescent="0.2">
      <c r="A67" s="23" t="s">
        <v>24</v>
      </c>
      <c r="B67" s="6" t="s">
        <v>25</v>
      </c>
      <c r="C67" s="25">
        <f>'Исходные данные'!$U$11/1000</f>
        <v>103.792</v>
      </c>
      <c r="D67" s="25">
        <f>'Исходные данные'!$U$11/1000</f>
        <v>103.792</v>
      </c>
      <c r="E67" s="25">
        <f>'Исходные данные'!$U$11/1000</f>
        <v>103.792</v>
      </c>
      <c r="F67" s="25">
        <f>'Исходные данные'!$U$11/1000</f>
        <v>103.792</v>
      </c>
      <c r="G67" s="25">
        <f>'Исходные данные'!$U$11/1000</f>
        <v>103.792</v>
      </c>
      <c r="H67" s="25">
        <f>'Исходные данные'!$U$11/1000</f>
        <v>103.792</v>
      </c>
      <c r="I67" s="25">
        <f>'Исходные данные'!$U$11/1000</f>
        <v>103.792</v>
      </c>
      <c r="J67" s="25">
        <f>'Исходные данные'!$U$11/1000</f>
        <v>103.792</v>
      </c>
      <c r="K67" s="25">
        <f>'Исходные данные'!$U$11/1000</f>
        <v>103.792</v>
      </c>
      <c r="L67" s="25">
        <f>'Исходные данные'!$U$11/1000</f>
        <v>103.792</v>
      </c>
      <c r="M67" s="25">
        <f>'Исходные данные'!$U$11/1000</f>
        <v>103.792</v>
      </c>
      <c r="N67" s="25">
        <f>'Исходные данные'!$U$11/1000</f>
        <v>103.792</v>
      </c>
      <c r="O67" s="25">
        <f>'Исходные данные'!$U$11/1000</f>
        <v>103.792</v>
      </c>
      <c r="P67" s="25">
        <f>'Исходные данные'!$U$11/1000</f>
        <v>103.792</v>
      </c>
      <c r="Q67" s="25">
        <f>'Исходные данные'!$U$11/1000</f>
        <v>103.792</v>
      </c>
    </row>
    <row r="68" spans="1:18" ht="33.75" customHeight="1" x14ac:dyDescent="0.2">
      <c r="A68" s="23" t="s">
        <v>26</v>
      </c>
      <c r="B68" s="6" t="s">
        <v>27</v>
      </c>
      <c r="C68" s="25">
        <v>0.33560000000000001</v>
      </c>
      <c r="D68" s="25">
        <v>0.33560000000000001</v>
      </c>
      <c r="E68" s="25">
        <v>0.33560000000000001</v>
      </c>
      <c r="F68" s="25">
        <v>0.33560000000000001</v>
      </c>
      <c r="G68" s="25">
        <v>0.33560000000000001</v>
      </c>
      <c r="H68" s="25">
        <v>0.33560000000000001</v>
      </c>
      <c r="I68" s="25">
        <v>0.33560000000000001</v>
      </c>
      <c r="J68" s="25">
        <v>0.33560000000000001</v>
      </c>
      <c r="K68" s="25">
        <v>0.33560000000000001</v>
      </c>
      <c r="L68" s="25">
        <v>0.33560000000000001</v>
      </c>
      <c r="M68" s="25">
        <v>0.33560000000000001</v>
      </c>
      <c r="N68" s="25">
        <v>0.33560000000000001</v>
      </c>
      <c r="O68" s="25">
        <v>0.33560000000000001</v>
      </c>
      <c r="P68" s="25">
        <v>0.33560000000000001</v>
      </c>
      <c r="Q68" s="25">
        <v>0.33560000000000001</v>
      </c>
      <c r="R68" t="s">
        <v>28</v>
      </c>
    </row>
    <row r="69" spans="1:18" ht="15.75" customHeight="1" x14ac:dyDescent="0.2">
      <c r="A69" s="23"/>
      <c r="B69" s="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8" ht="16.5" customHeight="1" x14ac:dyDescent="0.2">
      <c r="A70" s="34" t="s">
        <v>29</v>
      </c>
      <c r="B70" s="35" t="s">
        <v>4</v>
      </c>
      <c r="C70" s="36">
        <f t="shared" ref="C70:Q70" si="16">ROUND(C64*C65+C67*C68,0)</f>
        <v>667</v>
      </c>
      <c r="D70" s="36">
        <f t="shared" si="16"/>
        <v>667</v>
      </c>
      <c r="E70" s="36">
        <f t="shared" si="16"/>
        <v>667</v>
      </c>
      <c r="F70" s="36">
        <f t="shared" si="16"/>
        <v>667</v>
      </c>
      <c r="G70" s="36">
        <f t="shared" si="16"/>
        <v>667</v>
      </c>
      <c r="H70" s="36">
        <f t="shared" si="16"/>
        <v>667</v>
      </c>
      <c r="I70" s="36">
        <f t="shared" si="16"/>
        <v>667</v>
      </c>
      <c r="J70" s="36">
        <f t="shared" si="16"/>
        <v>667</v>
      </c>
      <c r="K70" s="36">
        <f t="shared" si="16"/>
        <v>667</v>
      </c>
      <c r="L70" s="36">
        <f t="shared" si="16"/>
        <v>667</v>
      </c>
      <c r="M70" s="36">
        <f t="shared" si="16"/>
        <v>667</v>
      </c>
      <c r="N70" s="36">
        <f t="shared" si="16"/>
        <v>667</v>
      </c>
      <c r="O70" s="36">
        <f t="shared" si="16"/>
        <v>667</v>
      </c>
      <c r="P70" s="36">
        <f t="shared" si="16"/>
        <v>667</v>
      </c>
      <c r="Q70" s="36">
        <f t="shared" si="16"/>
        <v>667</v>
      </c>
    </row>
    <row r="71" spans="1:18" ht="15.75" customHeight="1" x14ac:dyDescent="0.2">
      <c r="A71" s="23"/>
      <c r="B71" s="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8" ht="16.5" customHeight="1" x14ac:dyDescent="0.2">
      <c r="A72" s="26" t="s">
        <v>30</v>
      </c>
      <c r="B72" s="2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8" ht="33.75" customHeight="1" x14ac:dyDescent="0.2">
      <c r="A73" s="23" t="s">
        <v>31</v>
      </c>
      <c r="B73" s="6" t="s">
        <v>32</v>
      </c>
      <c r="C73" s="25">
        <v>2.9</v>
      </c>
      <c r="D73" s="25">
        <v>2.9</v>
      </c>
      <c r="E73" s="25">
        <v>2.9</v>
      </c>
      <c r="F73" s="25">
        <v>2.9</v>
      </c>
      <c r="G73" s="25">
        <v>2.9</v>
      </c>
      <c r="H73" s="25">
        <v>2.9</v>
      </c>
      <c r="I73" s="25">
        <v>2.9</v>
      </c>
      <c r="J73" s="25">
        <v>2.9</v>
      </c>
      <c r="K73" s="25">
        <v>2.9</v>
      </c>
      <c r="L73" s="25">
        <v>2.9</v>
      </c>
      <c r="M73" s="25">
        <v>2.9</v>
      </c>
      <c r="N73" s="25">
        <v>2.9</v>
      </c>
      <c r="O73" s="25">
        <v>2.9</v>
      </c>
      <c r="P73" s="25">
        <v>2.9</v>
      </c>
      <c r="Q73" s="25">
        <v>2.9</v>
      </c>
      <c r="R73" s="37" t="s">
        <v>33</v>
      </c>
    </row>
    <row r="74" spans="1:18" ht="33.75" customHeight="1" x14ac:dyDescent="0.2">
      <c r="A74" s="23" t="s">
        <v>44</v>
      </c>
      <c r="B74" s="6" t="s">
        <v>32</v>
      </c>
      <c r="C74" s="25">
        <v>9.4</v>
      </c>
      <c r="D74" s="25">
        <v>9.4</v>
      </c>
      <c r="E74" s="25">
        <v>9.4</v>
      </c>
      <c r="F74" s="25">
        <v>9.4</v>
      </c>
      <c r="G74" s="25">
        <v>9.4</v>
      </c>
      <c r="H74" s="25">
        <v>9.4</v>
      </c>
      <c r="I74" s="25">
        <v>9.4</v>
      </c>
      <c r="J74" s="25">
        <v>9.4</v>
      </c>
      <c r="K74" s="25">
        <v>9.4</v>
      </c>
      <c r="L74" s="25">
        <v>9.4</v>
      </c>
      <c r="M74" s="25">
        <v>9.4</v>
      </c>
      <c r="N74" s="25">
        <v>9.4</v>
      </c>
      <c r="O74" s="25">
        <v>9.4</v>
      </c>
      <c r="P74" s="25">
        <v>9.4</v>
      </c>
      <c r="Q74" s="25">
        <v>9.4</v>
      </c>
      <c r="R74" s="37" t="s">
        <v>33</v>
      </c>
    </row>
    <row r="75" spans="1:18" ht="33.75" customHeight="1" x14ac:dyDescent="0.2">
      <c r="A75" s="23" t="s">
        <v>35</v>
      </c>
      <c r="B75" s="6" t="s">
        <v>4</v>
      </c>
      <c r="C75" s="25">
        <f t="shared" ref="C75:Q75" si="17">C73*(C64*33.08/1000)</f>
        <v>33.798474444</v>
      </c>
      <c r="D75" s="25">
        <f t="shared" si="17"/>
        <v>33.798474444</v>
      </c>
      <c r="E75" s="25">
        <f t="shared" si="17"/>
        <v>33.798474444</v>
      </c>
      <c r="F75" s="25">
        <f t="shared" si="17"/>
        <v>33.798474444</v>
      </c>
      <c r="G75" s="25">
        <f t="shared" si="17"/>
        <v>33.798474444</v>
      </c>
      <c r="H75" s="25">
        <f t="shared" si="17"/>
        <v>33.798474444</v>
      </c>
      <c r="I75" s="25">
        <f t="shared" si="17"/>
        <v>33.798474444</v>
      </c>
      <c r="J75" s="25">
        <f t="shared" si="17"/>
        <v>33.798474444</v>
      </c>
      <c r="K75" s="25">
        <f t="shared" si="17"/>
        <v>33.798474444</v>
      </c>
      <c r="L75" s="25">
        <f t="shared" si="17"/>
        <v>33.798474444</v>
      </c>
      <c r="M75" s="25">
        <f t="shared" si="17"/>
        <v>33.798474444</v>
      </c>
      <c r="N75" s="25">
        <f t="shared" si="17"/>
        <v>33.798474444</v>
      </c>
      <c r="O75" s="25">
        <f t="shared" si="17"/>
        <v>33.798474444</v>
      </c>
      <c r="P75" s="25">
        <f t="shared" si="17"/>
        <v>33.798474444</v>
      </c>
      <c r="Q75" s="25">
        <f t="shared" si="17"/>
        <v>33.798474444</v>
      </c>
    </row>
    <row r="76" spans="1:18" ht="33.75" customHeight="1" x14ac:dyDescent="0.2">
      <c r="A76" s="23" t="s">
        <v>45</v>
      </c>
      <c r="B76" s="6" t="s">
        <v>4</v>
      </c>
      <c r="C76" s="25">
        <f t="shared" ref="C76:Q76" si="18">C74*(C61/1000)</f>
        <v>155.57951362483209</v>
      </c>
      <c r="D76" s="25">
        <f t="shared" si="18"/>
        <v>155.57951362483209</v>
      </c>
      <c r="E76" s="25">
        <f t="shared" si="18"/>
        <v>155.57951362483209</v>
      </c>
      <c r="F76" s="25">
        <f t="shared" si="18"/>
        <v>130.87350248556365</v>
      </c>
      <c r="G76" s="25">
        <f t="shared" si="18"/>
        <v>130.87350248556365</v>
      </c>
      <c r="H76" s="25">
        <f t="shared" si="18"/>
        <v>130.87350248556365</v>
      </c>
      <c r="I76" s="25">
        <f t="shared" si="18"/>
        <v>130.87350248556365</v>
      </c>
      <c r="J76" s="25">
        <f t="shared" si="18"/>
        <v>130.87350248556365</v>
      </c>
      <c r="K76" s="25">
        <f t="shared" si="18"/>
        <v>130.87350248556365</v>
      </c>
      <c r="L76" s="25">
        <f t="shared" si="18"/>
        <v>130.87350248556365</v>
      </c>
      <c r="M76" s="25">
        <f t="shared" si="18"/>
        <v>130.87350248556365</v>
      </c>
      <c r="N76" s="25">
        <f t="shared" si="18"/>
        <v>115.83759120000001</v>
      </c>
      <c r="O76" s="25">
        <f t="shared" si="18"/>
        <v>115.83759120000001</v>
      </c>
      <c r="P76" s="25">
        <f t="shared" si="18"/>
        <v>115.83759120000001</v>
      </c>
      <c r="Q76" s="25">
        <f t="shared" si="18"/>
        <v>115.83759120000001</v>
      </c>
    </row>
    <row r="77" spans="1:18" ht="16.5" customHeight="1" x14ac:dyDescent="0.2">
      <c r="A77" s="39" t="s">
        <v>30</v>
      </c>
      <c r="B77" s="6" t="s">
        <v>4</v>
      </c>
      <c r="C77" s="29">
        <f t="shared" ref="C77:Q77" si="19">C75-C76</f>
        <v>-121.7810391808321</v>
      </c>
      <c r="D77" s="29">
        <f t="shared" si="19"/>
        <v>-121.7810391808321</v>
      </c>
      <c r="E77" s="29">
        <f t="shared" si="19"/>
        <v>-121.7810391808321</v>
      </c>
      <c r="F77" s="29">
        <f t="shared" si="19"/>
        <v>-97.075028041563655</v>
      </c>
      <c r="G77" s="29">
        <f t="shared" si="19"/>
        <v>-97.075028041563655</v>
      </c>
      <c r="H77" s="29">
        <f t="shared" si="19"/>
        <v>-97.075028041563655</v>
      </c>
      <c r="I77" s="29">
        <f t="shared" si="19"/>
        <v>-97.075028041563655</v>
      </c>
      <c r="J77" s="29">
        <f t="shared" si="19"/>
        <v>-97.075028041563655</v>
      </c>
      <c r="K77" s="29">
        <f t="shared" si="19"/>
        <v>-97.075028041563655</v>
      </c>
      <c r="L77" s="29">
        <f t="shared" si="19"/>
        <v>-97.075028041563655</v>
      </c>
      <c r="M77" s="29">
        <f t="shared" si="19"/>
        <v>-97.075028041563655</v>
      </c>
      <c r="N77" s="29">
        <f t="shared" si="19"/>
        <v>-82.039116755999999</v>
      </c>
      <c r="O77" s="29">
        <f t="shared" si="19"/>
        <v>-82.039116755999999</v>
      </c>
      <c r="P77" s="29">
        <f t="shared" si="19"/>
        <v>-82.039116755999999</v>
      </c>
      <c r="Q77" s="29">
        <f t="shared" si="19"/>
        <v>-82.039116755999999</v>
      </c>
    </row>
    <row r="79" spans="1:18" ht="15.75" customHeight="1" x14ac:dyDescent="0.2">
      <c r="A79" s="21" t="s">
        <v>46</v>
      </c>
      <c r="B79" s="22" t="s">
        <v>3</v>
      </c>
      <c r="C79" s="22">
        <v>2027</v>
      </c>
      <c r="D79" s="22">
        <v>2028</v>
      </c>
      <c r="E79" s="22">
        <v>2029</v>
      </c>
      <c r="F79" s="22">
        <v>2030</v>
      </c>
      <c r="G79" s="22">
        <v>2031</v>
      </c>
      <c r="H79" s="22">
        <v>2032</v>
      </c>
      <c r="I79" s="22">
        <v>2033</v>
      </c>
      <c r="J79" s="22">
        <v>2034</v>
      </c>
      <c r="K79" s="22">
        <v>2035</v>
      </c>
      <c r="L79" s="22">
        <v>2036</v>
      </c>
      <c r="M79" s="22">
        <v>2037</v>
      </c>
      <c r="N79" s="22">
        <v>2038</v>
      </c>
      <c r="O79" s="22">
        <v>2039</v>
      </c>
      <c r="P79" s="22">
        <v>2040</v>
      </c>
      <c r="Q79" s="22">
        <v>2041</v>
      </c>
    </row>
    <row r="80" spans="1:18" ht="16.5" customHeight="1" x14ac:dyDescent="0.2">
      <c r="A80" s="23"/>
      <c r="B80" s="6" t="s">
        <v>10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1:18" ht="16.5" customHeight="1" x14ac:dyDescent="0.2">
      <c r="A81" s="23" t="s">
        <v>11</v>
      </c>
      <c r="B81" s="6" t="s">
        <v>12</v>
      </c>
      <c r="C81" s="25">
        <f>'Исходные данные'!$X$4</f>
        <v>710</v>
      </c>
      <c r="D81" s="25">
        <f>'Исходные данные'!$X$4</f>
        <v>710</v>
      </c>
      <c r="E81" s="25">
        <f>'Исходные данные'!$X$4</f>
        <v>710</v>
      </c>
      <c r="F81" s="25">
        <f>'Исходные данные'!$X$4</f>
        <v>710</v>
      </c>
      <c r="G81" s="25">
        <f>'Исходные данные'!$X$4</f>
        <v>710</v>
      </c>
      <c r="H81" s="25">
        <f>'Исходные данные'!$X$4</f>
        <v>710</v>
      </c>
      <c r="I81" s="25">
        <f>'Исходные данные'!$X$4</f>
        <v>710</v>
      </c>
      <c r="J81" s="25">
        <f>'Исходные данные'!$X$4</f>
        <v>710</v>
      </c>
      <c r="K81" s="25">
        <f>'Исходные данные'!$X$4</f>
        <v>710</v>
      </c>
      <c r="L81" s="25">
        <f>'Исходные данные'!$X$4</f>
        <v>710</v>
      </c>
      <c r="M81" s="25">
        <f>'Исходные данные'!$X$4</f>
        <v>710</v>
      </c>
      <c r="N81" s="25">
        <f>'Исходные данные'!$X$4</f>
        <v>710</v>
      </c>
      <c r="O81" s="25">
        <f>'Исходные данные'!$X$4</f>
        <v>710</v>
      </c>
      <c r="P81" s="25">
        <f>'Исходные данные'!$X$4</f>
        <v>710</v>
      </c>
      <c r="Q81" s="25">
        <f>'Исходные данные'!$X$4</f>
        <v>710</v>
      </c>
    </row>
    <row r="82" spans="1:18" ht="16.5" customHeight="1" x14ac:dyDescent="0.2">
      <c r="A82" s="23" t="s">
        <v>11</v>
      </c>
      <c r="B82" s="6" t="s">
        <v>13</v>
      </c>
      <c r="C82" s="25">
        <f t="shared" ref="C82:Q82" si="20">C81*4.1868</f>
        <v>2972.6279999999997</v>
      </c>
      <c r="D82" s="25">
        <f t="shared" si="20"/>
        <v>2972.6279999999997</v>
      </c>
      <c r="E82" s="25">
        <f t="shared" si="20"/>
        <v>2972.6279999999997</v>
      </c>
      <c r="F82" s="25">
        <f t="shared" si="20"/>
        <v>2972.6279999999997</v>
      </c>
      <c r="G82" s="25">
        <f t="shared" si="20"/>
        <v>2972.6279999999997</v>
      </c>
      <c r="H82" s="25">
        <f t="shared" si="20"/>
        <v>2972.6279999999997</v>
      </c>
      <c r="I82" s="25">
        <f t="shared" si="20"/>
        <v>2972.6279999999997</v>
      </c>
      <c r="J82" s="25">
        <f t="shared" si="20"/>
        <v>2972.6279999999997</v>
      </c>
      <c r="K82" s="25">
        <f t="shared" si="20"/>
        <v>2972.6279999999997</v>
      </c>
      <c r="L82" s="25">
        <f t="shared" si="20"/>
        <v>2972.6279999999997</v>
      </c>
      <c r="M82" s="25">
        <f t="shared" si="20"/>
        <v>2972.6279999999997</v>
      </c>
      <c r="N82" s="25">
        <f t="shared" si="20"/>
        <v>2972.6279999999997</v>
      </c>
      <c r="O82" s="25">
        <f t="shared" si="20"/>
        <v>2972.6279999999997</v>
      </c>
      <c r="P82" s="25">
        <f t="shared" si="20"/>
        <v>2972.6279999999997</v>
      </c>
      <c r="Q82" s="25">
        <f t="shared" si="20"/>
        <v>2972.6279999999997</v>
      </c>
    </row>
    <row r="83" spans="1:18" ht="15.75" customHeight="1" x14ac:dyDescent="0.2">
      <c r="A83" s="23"/>
      <c r="B83" s="6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1:18" ht="16.5" customHeight="1" x14ac:dyDescent="0.2">
      <c r="A84" s="26" t="s">
        <v>14</v>
      </c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8" ht="51" customHeight="1" x14ac:dyDescent="0.2">
      <c r="A85" s="23" t="s">
        <v>15</v>
      </c>
      <c r="B85" s="6" t="s">
        <v>16</v>
      </c>
      <c r="C85" s="25">
        <f>'Котельные проект макс КПД котло'!G35</f>
        <v>50.1</v>
      </c>
      <c r="D85" s="25">
        <f>'Котельные проект макс КПД котло'!H35</f>
        <v>50.1</v>
      </c>
      <c r="E85" s="25">
        <f>'Котельные проект макс КПД котло'!I35</f>
        <v>50.1</v>
      </c>
      <c r="F85" s="25">
        <f>'Котельные проект макс КПД котло'!J35</f>
        <v>50.1</v>
      </c>
      <c r="G85" s="25">
        <f>'Котельные проект макс КПД котло'!K35</f>
        <v>50.1</v>
      </c>
      <c r="H85" s="25">
        <f>'Котельные проект макс КПД котло'!L35</f>
        <v>50.1</v>
      </c>
      <c r="I85" s="25">
        <f>'Котельные проект макс КПД котло'!M35</f>
        <v>50.1</v>
      </c>
      <c r="J85" s="25">
        <f>'Котельные проект макс КПД котло'!N35</f>
        <v>50.1</v>
      </c>
      <c r="K85" s="25">
        <f>'Котельные проект макс КПД котло'!O35</f>
        <v>50.1</v>
      </c>
      <c r="L85" s="25">
        <f>'Котельные проект макс КПД котло'!P35</f>
        <v>50.1</v>
      </c>
      <c r="M85" s="25">
        <f>'Котельные проект макс КПД котло'!Q35</f>
        <v>85</v>
      </c>
      <c r="N85" s="25">
        <f>'Котельные проект макс КПД котло'!R35</f>
        <v>85</v>
      </c>
      <c r="O85" s="25">
        <f>'Котельные проект макс КПД котло'!S35</f>
        <v>85</v>
      </c>
      <c r="P85" s="25">
        <f>'Котельные проект макс КПД котло'!T35</f>
        <v>85</v>
      </c>
      <c r="Q85" s="25">
        <f>'Котельные проект макс КПД котло'!U35</f>
        <v>85</v>
      </c>
    </row>
    <row r="86" spans="1:18" ht="16.5" customHeight="1" x14ac:dyDescent="0.2">
      <c r="A86" s="23" t="s">
        <v>17</v>
      </c>
      <c r="B86" s="6" t="s">
        <v>13</v>
      </c>
      <c r="C86" s="25">
        <f t="shared" ref="C86:Q86" si="21">C82/(C85/100)</f>
        <v>5933.3892215568858</v>
      </c>
      <c r="D86" s="25">
        <f t="shared" si="21"/>
        <v>5933.3892215568858</v>
      </c>
      <c r="E86" s="25">
        <f t="shared" si="21"/>
        <v>5933.3892215568858</v>
      </c>
      <c r="F86" s="25">
        <f t="shared" si="21"/>
        <v>5933.3892215568858</v>
      </c>
      <c r="G86" s="25">
        <f t="shared" si="21"/>
        <v>5933.3892215568858</v>
      </c>
      <c r="H86" s="25">
        <f t="shared" si="21"/>
        <v>5933.3892215568858</v>
      </c>
      <c r="I86" s="25">
        <f t="shared" si="21"/>
        <v>5933.3892215568858</v>
      </c>
      <c r="J86" s="25">
        <f t="shared" si="21"/>
        <v>5933.3892215568858</v>
      </c>
      <c r="K86" s="25">
        <f t="shared" si="21"/>
        <v>5933.3892215568858</v>
      </c>
      <c r="L86" s="25">
        <f t="shared" si="21"/>
        <v>5933.3892215568858</v>
      </c>
      <c r="M86" s="25">
        <f t="shared" si="21"/>
        <v>3497.2094117647057</v>
      </c>
      <c r="N86" s="25">
        <f t="shared" si="21"/>
        <v>3497.2094117647057</v>
      </c>
      <c r="O86" s="25">
        <f t="shared" si="21"/>
        <v>3497.2094117647057</v>
      </c>
      <c r="P86" s="25">
        <f t="shared" si="21"/>
        <v>3497.2094117647057</v>
      </c>
      <c r="Q86" s="25">
        <f t="shared" si="21"/>
        <v>3497.2094117647057</v>
      </c>
    </row>
    <row r="87" spans="1:18" ht="15.75" customHeight="1" x14ac:dyDescent="0.2">
      <c r="A87" s="23"/>
      <c r="B87" s="6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8" ht="15.75" customHeight="1" x14ac:dyDescent="0.2">
      <c r="A88" s="30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1:18" ht="16.5" customHeight="1" x14ac:dyDescent="0.2">
      <c r="A89" s="31" t="s">
        <v>18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  <row r="90" spans="1:18" ht="16.5" customHeight="1" x14ac:dyDescent="0.2">
      <c r="A90" s="23" t="s">
        <v>19</v>
      </c>
      <c r="B90" s="6" t="s">
        <v>47</v>
      </c>
      <c r="C90" s="25">
        <f>C81*'Исходные данные'!$X$16</f>
        <v>95.14</v>
      </c>
      <c r="D90" s="25">
        <f>D81*'Исходные данные'!$X$16</f>
        <v>95.14</v>
      </c>
      <c r="E90" s="25">
        <f>E81*'Исходные данные'!$X$16</f>
        <v>95.14</v>
      </c>
      <c r="F90" s="25">
        <f>F81*'Исходные данные'!$X$16</f>
        <v>95.14</v>
      </c>
      <c r="G90" s="25">
        <f>G81*'Исходные данные'!$X$16</f>
        <v>95.14</v>
      </c>
      <c r="H90" s="25">
        <f>H81*'Исходные данные'!$X$16</f>
        <v>95.14</v>
      </c>
      <c r="I90" s="25">
        <f>I81*'Исходные данные'!$X$16</f>
        <v>95.14</v>
      </c>
      <c r="J90" s="25">
        <f>J81*'Исходные данные'!$X$16</f>
        <v>95.14</v>
      </c>
      <c r="K90" s="25">
        <f>K81*'Исходные данные'!$X$16</f>
        <v>95.14</v>
      </c>
      <c r="L90" s="25">
        <f>L81*'Исходные данные'!$X$16</f>
        <v>95.14</v>
      </c>
      <c r="M90" s="25">
        <f>M81*'Исходные данные'!$X$16</f>
        <v>95.14</v>
      </c>
      <c r="N90" s="25">
        <f>N81*'Исходные данные'!$X$16</f>
        <v>95.14</v>
      </c>
      <c r="O90" s="25">
        <f>O81*'Исходные данные'!$X$16</f>
        <v>95.14</v>
      </c>
      <c r="P90" s="25">
        <f>P81*'Исходные данные'!$X$16</f>
        <v>95.14</v>
      </c>
      <c r="Q90" s="25">
        <f>Q81*'Исходные данные'!$X$16</f>
        <v>95.14</v>
      </c>
    </row>
    <row r="91" spans="1:18" ht="16.5" customHeight="1" x14ac:dyDescent="0.2">
      <c r="A91" s="23" t="s">
        <v>21</v>
      </c>
      <c r="B91" s="6" t="s">
        <v>22</v>
      </c>
      <c r="C91" s="25">
        <v>1.7949999999999999</v>
      </c>
      <c r="D91" s="25">
        <v>1.7949999999999999</v>
      </c>
      <c r="E91" s="25">
        <v>1.7949999999999999</v>
      </c>
      <c r="F91" s="25">
        <v>1.7949999999999999</v>
      </c>
      <c r="G91" s="25">
        <v>1.7949999999999999</v>
      </c>
      <c r="H91" s="25">
        <v>1.7949999999999999</v>
      </c>
      <c r="I91" s="25">
        <v>1.7949999999999999</v>
      </c>
      <c r="J91" s="25">
        <v>1.7949999999999999</v>
      </c>
      <c r="K91" s="25">
        <v>1.7949999999999999</v>
      </c>
      <c r="L91" s="25">
        <v>1.7949999999999999</v>
      </c>
      <c r="M91" s="25">
        <v>1.7949999999999999</v>
      </c>
      <c r="N91" s="25">
        <v>1.7949999999999999</v>
      </c>
      <c r="O91" s="25">
        <v>1.7949999999999999</v>
      </c>
      <c r="P91" s="25">
        <v>1.7949999999999999</v>
      </c>
      <c r="Q91" s="25">
        <v>1.7949999999999999</v>
      </c>
      <c r="R91" t="s">
        <v>23</v>
      </c>
    </row>
    <row r="92" spans="1:18" ht="15.75" customHeight="1" x14ac:dyDescent="0.2">
      <c r="A92" s="23"/>
      <c r="B92" s="6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</row>
    <row r="93" spans="1:18" ht="51" customHeight="1" x14ac:dyDescent="0.2">
      <c r="A93" s="23" t="s">
        <v>24</v>
      </c>
      <c r="B93" s="6" t="s">
        <v>25</v>
      </c>
      <c r="C93" s="25">
        <f>'Исходные данные'!$X$11/1000</f>
        <v>33.674999999999997</v>
      </c>
      <c r="D93" s="25">
        <f>'Исходные данные'!$X$11/1000</f>
        <v>33.674999999999997</v>
      </c>
      <c r="E93" s="25">
        <f>'Исходные данные'!$X$11/1000</f>
        <v>33.674999999999997</v>
      </c>
      <c r="F93" s="25">
        <f>'Исходные данные'!$X$11/1000</f>
        <v>33.674999999999997</v>
      </c>
      <c r="G93" s="25">
        <f>'Исходные данные'!$X$11/1000</f>
        <v>33.674999999999997</v>
      </c>
      <c r="H93" s="25">
        <f>'Исходные данные'!$X$11/1000</f>
        <v>33.674999999999997</v>
      </c>
      <c r="I93" s="25">
        <f>'Исходные данные'!$X$11/1000</f>
        <v>33.674999999999997</v>
      </c>
      <c r="J93" s="25">
        <f>'Исходные данные'!$X$11/1000</f>
        <v>33.674999999999997</v>
      </c>
      <c r="K93" s="25">
        <f>'Исходные данные'!$X$11/1000</f>
        <v>33.674999999999997</v>
      </c>
      <c r="L93" s="25">
        <f>'Исходные данные'!$X$11/1000</f>
        <v>33.674999999999997</v>
      </c>
      <c r="M93" s="25">
        <f>'Исходные данные'!$X$11/1000</f>
        <v>33.674999999999997</v>
      </c>
      <c r="N93" s="25">
        <f>'Исходные данные'!$X$11/1000</f>
        <v>33.674999999999997</v>
      </c>
      <c r="O93" s="25">
        <f>'Исходные данные'!$X$11/1000</f>
        <v>33.674999999999997</v>
      </c>
      <c r="P93" s="25">
        <f>'Исходные данные'!$X$11/1000</f>
        <v>33.674999999999997</v>
      </c>
      <c r="Q93" s="25">
        <f>'Исходные данные'!$X$11/1000</f>
        <v>33.674999999999997</v>
      </c>
    </row>
    <row r="94" spans="1:18" ht="27.75" customHeight="1" x14ac:dyDescent="0.2">
      <c r="A94" s="23" t="s">
        <v>26</v>
      </c>
      <c r="B94" s="6" t="s">
        <v>27</v>
      </c>
      <c r="C94" s="25">
        <v>0.33560000000000001</v>
      </c>
      <c r="D94" s="25">
        <v>0.33560000000000001</v>
      </c>
      <c r="E94" s="25">
        <v>0.33560000000000001</v>
      </c>
      <c r="F94" s="25">
        <v>0.33560000000000001</v>
      </c>
      <c r="G94" s="25">
        <v>0.33560000000000001</v>
      </c>
      <c r="H94" s="25">
        <v>0.33560000000000001</v>
      </c>
      <c r="I94" s="25">
        <v>0.33560000000000001</v>
      </c>
      <c r="J94" s="25">
        <v>0.33560000000000001</v>
      </c>
      <c r="K94" s="25">
        <v>0.33560000000000001</v>
      </c>
      <c r="L94" s="25">
        <v>0.33560000000000001</v>
      </c>
      <c r="M94" s="25">
        <v>0.33560000000000001</v>
      </c>
      <c r="N94" s="25">
        <v>0.33560000000000001</v>
      </c>
      <c r="O94" s="25">
        <v>0.33560000000000001</v>
      </c>
      <c r="P94" s="25">
        <v>0.33560000000000001</v>
      </c>
      <c r="Q94" s="25">
        <v>0.33560000000000001</v>
      </c>
      <c r="R94" t="s">
        <v>28</v>
      </c>
    </row>
    <row r="95" spans="1:18" ht="15.75" customHeight="1" x14ac:dyDescent="0.2">
      <c r="A95" s="23"/>
      <c r="B95" s="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8" ht="16.5" customHeight="1" x14ac:dyDescent="0.2">
      <c r="A96" s="34" t="s">
        <v>29</v>
      </c>
      <c r="B96" s="35" t="s">
        <v>4</v>
      </c>
      <c r="C96" s="36">
        <f t="shared" ref="C96:Q96" si="22">ROUND(C90*C91+C93*C94,0)</f>
        <v>182</v>
      </c>
      <c r="D96" s="36">
        <f t="shared" si="22"/>
        <v>182</v>
      </c>
      <c r="E96" s="36">
        <f t="shared" si="22"/>
        <v>182</v>
      </c>
      <c r="F96" s="36">
        <f t="shared" si="22"/>
        <v>182</v>
      </c>
      <c r="G96" s="36">
        <f t="shared" si="22"/>
        <v>182</v>
      </c>
      <c r="H96" s="36">
        <f t="shared" si="22"/>
        <v>182</v>
      </c>
      <c r="I96" s="36">
        <f t="shared" si="22"/>
        <v>182</v>
      </c>
      <c r="J96" s="36">
        <f t="shared" si="22"/>
        <v>182</v>
      </c>
      <c r="K96" s="36">
        <f t="shared" si="22"/>
        <v>182</v>
      </c>
      <c r="L96" s="36">
        <f t="shared" si="22"/>
        <v>182</v>
      </c>
      <c r="M96" s="36">
        <f t="shared" si="22"/>
        <v>182</v>
      </c>
      <c r="N96" s="36">
        <f t="shared" si="22"/>
        <v>182</v>
      </c>
      <c r="O96" s="36">
        <f t="shared" si="22"/>
        <v>182</v>
      </c>
      <c r="P96" s="36">
        <f t="shared" si="22"/>
        <v>182</v>
      </c>
      <c r="Q96" s="36">
        <f t="shared" si="22"/>
        <v>182</v>
      </c>
    </row>
    <row r="97" spans="1:18" ht="15.75" customHeight="1" x14ac:dyDescent="0.2">
      <c r="A97" s="23"/>
      <c r="B97" s="6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8" ht="16.5" customHeight="1" x14ac:dyDescent="0.2">
      <c r="A98" s="26" t="s">
        <v>30</v>
      </c>
      <c r="B98" s="2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33.75" customHeight="1" x14ac:dyDescent="0.2">
      <c r="A99" s="45" t="s">
        <v>31</v>
      </c>
      <c r="B99" s="46" t="s">
        <v>32</v>
      </c>
      <c r="C99" s="47">
        <v>2.9</v>
      </c>
      <c r="D99" s="47">
        <v>2.9</v>
      </c>
      <c r="E99" s="47">
        <v>2.9</v>
      </c>
      <c r="F99" s="47">
        <v>2.9</v>
      </c>
      <c r="G99" s="47">
        <v>2.9</v>
      </c>
      <c r="H99" s="47">
        <v>2.9</v>
      </c>
      <c r="I99" s="47">
        <v>2.9</v>
      </c>
      <c r="J99" s="47">
        <v>2.9</v>
      </c>
      <c r="K99" s="47">
        <v>2.9</v>
      </c>
      <c r="L99" s="47">
        <v>2.9</v>
      </c>
      <c r="M99" s="47">
        <v>2.9</v>
      </c>
      <c r="N99" s="47">
        <v>2.9</v>
      </c>
      <c r="O99" s="47">
        <v>2.9</v>
      </c>
      <c r="P99" s="47">
        <v>2.9</v>
      </c>
      <c r="Q99" s="47">
        <v>2.9</v>
      </c>
      <c r="R99" s="37" t="s">
        <v>33</v>
      </c>
    </row>
    <row r="100" spans="1:18" ht="33.75" customHeight="1" x14ac:dyDescent="0.2">
      <c r="A100" s="38" t="s">
        <v>34</v>
      </c>
      <c r="B100" s="48" t="s">
        <v>32</v>
      </c>
      <c r="C100" s="49">
        <v>5.8</v>
      </c>
      <c r="D100" s="49">
        <v>5.8</v>
      </c>
      <c r="E100" s="49">
        <v>5.8</v>
      </c>
      <c r="F100" s="49">
        <v>5.8</v>
      </c>
      <c r="G100" s="49">
        <v>5.8</v>
      </c>
      <c r="H100" s="49">
        <v>5.8</v>
      </c>
      <c r="I100" s="49">
        <v>5.8</v>
      </c>
      <c r="J100" s="49">
        <v>5.8</v>
      </c>
      <c r="K100" s="49">
        <v>5.8</v>
      </c>
      <c r="L100" s="49">
        <v>5.8</v>
      </c>
      <c r="M100" s="49">
        <v>5.8</v>
      </c>
      <c r="N100" s="49">
        <v>5.8</v>
      </c>
      <c r="O100" s="49">
        <v>5.8</v>
      </c>
      <c r="P100" s="49">
        <v>5.8</v>
      </c>
      <c r="Q100" s="49">
        <v>5.8</v>
      </c>
      <c r="R100" s="37" t="s">
        <v>33</v>
      </c>
    </row>
    <row r="101" spans="1:18" ht="33.75" customHeight="1" x14ac:dyDescent="0.2">
      <c r="A101" s="38" t="s">
        <v>35</v>
      </c>
      <c r="B101" s="6" t="s">
        <v>4</v>
      </c>
      <c r="C101" s="25">
        <f t="shared" ref="C101:Q101" si="23">C99*(C90*33.08/1000)</f>
        <v>9.1269704799999989</v>
      </c>
      <c r="D101" s="25">
        <f t="shared" si="23"/>
        <v>9.1269704799999989</v>
      </c>
      <c r="E101" s="25">
        <f t="shared" si="23"/>
        <v>9.1269704799999989</v>
      </c>
      <c r="F101" s="25">
        <f t="shared" si="23"/>
        <v>9.1269704799999989</v>
      </c>
      <c r="G101" s="25">
        <f t="shared" si="23"/>
        <v>9.1269704799999989</v>
      </c>
      <c r="H101" s="25">
        <f t="shared" si="23"/>
        <v>9.1269704799999989</v>
      </c>
      <c r="I101" s="25">
        <f t="shared" si="23"/>
        <v>9.1269704799999989</v>
      </c>
      <c r="J101" s="25">
        <f t="shared" si="23"/>
        <v>9.1269704799999989</v>
      </c>
      <c r="K101" s="25">
        <f t="shared" si="23"/>
        <v>9.1269704799999989</v>
      </c>
      <c r="L101" s="25">
        <f t="shared" si="23"/>
        <v>9.1269704799999989</v>
      </c>
      <c r="M101" s="25">
        <f t="shared" si="23"/>
        <v>9.1269704799999989</v>
      </c>
      <c r="N101" s="25">
        <f t="shared" si="23"/>
        <v>9.1269704799999989</v>
      </c>
      <c r="O101" s="25">
        <f t="shared" si="23"/>
        <v>9.1269704799999989</v>
      </c>
      <c r="P101" s="25">
        <f t="shared" si="23"/>
        <v>9.1269704799999989</v>
      </c>
      <c r="Q101" s="25">
        <f t="shared" si="23"/>
        <v>9.1269704799999989</v>
      </c>
    </row>
    <row r="102" spans="1:18" ht="33.75" customHeight="1" x14ac:dyDescent="0.2">
      <c r="A102" s="38" t="s">
        <v>36</v>
      </c>
      <c r="B102" s="6" t="s">
        <v>4</v>
      </c>
      <c r="C102" s="25">
        <f t="shared" ref="C102:Q102" si="24">C100*(C86/1000)</f>
        <v>34.413657485029937</v>
      </c>
      <c r="D102" s="25">
        <f t="shared" si="24"/>
        <v>34.413657485029937</v>
      </c>
      <c r="E102" s="25">
        <f t="shared" si="24"/>
        <v>34.413657485029937</v>
      </c>
      <c r="F102" s="25">
        <f t="shared" si="24"/>
        <v>34.413657485029937</v>
      </c>
      <c r="G102" s="25">
        <f t="shared" si="24"/>
        <v>34.413657485029937</v>
      </c>
      <c r="H102" s="25">
        <f t="shared" si="24"/>
        <v>34.413657485029937</v>
      </c>
      <c r="I102" s="25">
        <f t="shared" si="24"/>
        <v>34.413657485029937</v>
      </c>
      <c r="J102" s="25">
        <f t="shared" si="24"/>
        <v>34.413657485029937</v>
      </c>
      <c r="K102" s="25">
        <f t="shared" si="24"/>
        <v>34.413657485029937</v>
      </c>
      <c r="L102" s="25">
        <f t="shared" si="24"/>
        <v>34.413657485029937</v>
      </c>
      <c r="M102" s="25">
        <f t="shared" si="24"/>
        <v>20.283814588235291</v>
      </c>
      <c r="N102" s="25">
        <f t="shared" si="24"/>
        <v>20.283814588235291</v>
      </c>
      <c r="O102" s="25">
        <f t="shared" si="24"/>
        <v>20.283814588235291</v>
      </c>
      <c r="P102" s="25">
        <f t="shared" si="24"/>
        <v>20.283814588235291</v>
      </c>
      <c r="Q102" s="25">
        <f t="shared" si="24"/>
        <v>20.283814588235291</v>
      </c>
    </row>
    <row r="103" spans="1:18" ht="16.5" customHeight="1" x14ac:dyDescent="0.2">
      <c r="A103" s="50" t="s">
        <v>30</v>
      </c>
      <c r="B103" s="6" t="s">
        <v>4</v>
      </c>
      <c r="C103" s="29">
        <f t="shared" ref="C103:Q103" si="25">C101-C102</f>
        <v>-25.28668700502994</v>
      </c>
      <c r="D103" s="29">
        <f t="shared" si="25"/>
        <v>-25.28668700502994</v>
      </c>
      <c r="E103" s="29">
        <f t="shared" si="25"/>
        <v>-25.28668700502994</v>
      </c>
      <c r="F103" s="29">
        <f t="shared" si="25"/>
        <v>-25.28668700502994</v>
      </c>
      <c r="G103" s="29">
        <f t="shared" si="25"/>
        <v>-25.28668700502994</v>
      </c>
      <c r="H103" s="29">
        <f t="shared" si="25"/>
        <v>-25.28668700502994</v>
      </c>
      <c r="I103" s="29">
        <f t="shared" si="25"/>
        <v>-25.28668700502994</v>
      </c>
      <c r="J103" s="29">
        <f t="shared" si="25"/>
        <v>-25.28668700502994</v>
      </c>
      <c r="K103" s="29">
        <f t="shared" si="25"/>
        <v>-25.28668700502994</v>
      </c>
      <c r="L103" s="29">
        <f t="shared" si="25"/>
        <v>-25.28668700502994</v>
      </c>
      <c r="M103" s="29">
        <f t="shared" si="25"/>
        <v>-11.156844108235292</v>
      </c>
      <c r="N103" s="29">
        <f t="shared" si="25"/>
        <v>-11.156844108235292</v>
      </c>
      <c r="O103" s="29">
        <f t="shared" si="25"/>
        <v>-11.156844108235292</v>
      </c>
      <c r="P103" s="29">
        <f t="shared" si="25"/>
        <v>-11.156844108235292</v>
      </c>
      <c r="Q103" s="29">
        <f t="shared" si="25"/>
        <v>-11.156844108235292</v>
      </c>
    </row>
    <row r="106" spans="1:18" ht="16.5" customHeight="1" x14ac:dyDescent="0.2">
      <c r="A106" s="51" t="s">
        <v>48</v>
      </c>
      <c r="B106" s="52" t="s">
        <v>4</v>
      </c>
      <c r="C106" s="53">
        <f t="shared" ref="C106:Q106" si="26">SUM(C18,C45,C70,C96)</f>
        <v>2080</v>
      </c>
      <c r="D106" s="53">
        <f t="shared" si="26"/>
        <v>2080</v>
      </c>
      <c r="E106" s="53">
        <f t="shared" si="26"/>
        <v>2080</v>
      </c>
      <c r="F106" s="53">
        <f t="shared" si="26"/>
        <v>2080</v>
      </c>
      <c r="G106" s="53">
        <f t="shared" si="26"/>
        <v>2080</v>
      </c>
      <c r="H106" s="53">
        <f t="shared" si="26"/>
        <v>2080</v>
      </c>
      <c r="I106" s="53">
        <f t="shared" si="26"/>
        <v>2080</v>
      </c>
      <c r="J106" s="53">
        <f t="shared" si="26"/>
        <v>2080</v>
      </c>
      <c r="K106" s="53">
        <f t="shared" si="26"/>
        <v>2080</v>
      </c>
      <c r="L106" s="53">
        <f t="shared" si="26"/>
        <v>2080</v>
      </c>
      <c r="M106" s="53">
        <f t="shared" si="26"/>
        <v>2080</v>
      </c>
      <c r="N106" s="53">
        <f t="shared" si="26"/>
        <v>2080</v>
      </c>
      <c r="O106" s="53">
        <f t="shared" si="26"/>
        <v>2080</v>
      </c>
      <c r="P106" s="53">
        <f t="shared" si="26"/>
        <v>2080</v>
      </c>
      <c r="Q106" s="53">
        <f t="shared" si="26"/>
        <v>2080</v>
      </c>
      <c r="R106" s="43"/>
    </row>
    <row r="107" spans="1:18" ht="16.5" customHeight="1" x14ac:dyDescent="0.2">
      <c r="A107" s="54" t="s">
        <v>49</v>
      </c>
      <c r="B107" s="55" t="s">
        <v>4</v>
      </c>
      <c r="C107" s="56">
        <f t="shared" ref="C107:Q107" si="27">C25+C52+C77+C103</f>
        <v>-272.7229333938987</v>
      </c>
      <c r="D107" s="56">
        <f t="shared" si="27"/>
        <v>-272.7229333938987</v>
      </c>
      <c r="E107" s="56">
        <f t="shared" si="27"/>
        <v>-252.57855041104139</v>
      </c>
      <c r="F107" s="56">
        <f t="shared" si="27"/>
        <v>-227.87253927177295</v>
      </c>
      <c r="G107" s="56">
        <f t="shared" si="27"/>
        <v>-227.87253927177295</v>
      </c>
      <c r="H107" s="56">
        <f t="shared" si="27"/>
        <v>-227.87253927177295</v>
      </c>
      <c r="I107" s="56">
        <f t="shared" si="27"/>
        <v>-227.87253927177295</v>
      </c>
      <c r="J107" s="56">
        <f t="shared" si="27"/>
        <v>-227.87253927177295</v>
      </c>
      <c r="K107" s="56">
        <f t="shared" si="27"/>
        <v>-227.87253927177295</v>
      </c>
      <c r="L107" s="56">
        <f t="shared" si="27"/>
        <v>-227.87253927177295</v>
      </c>
      <c r="M107" s="56">
        <f t="shared" si="27"/>
        <v>-191.91872339655436</v>
      </c>
      <c r="N107" s="56">
        <f t="shared" si="27"/>
        <v>-170.69336513435294</v>
      </c>
      <c r="O107" s="56">
        <f t="shared" si="27"/>
        <v>-170.69336513435294</v>
      </c>
      <c r="P107" s="56">
        <f t="shared" si="27"/>
        <v>-170.69336513435294</v>
      </c>
      <c r="Q107" s="56">
        <f t="shared" si="27"/>
        <v>-170.69336513435294</v>
      </c>
    </row>
    <row r="108" spans="1:18" ht="15.75" customHeight="1" x14ac:dyDescent="0.2">
      <c r="C108" s="20">
        <v>1</v>
      </c>
      <c r="D108" s="20">
        <v>2</v>
      </c>
      <c r="E108" s="20">
        <v>3</v>
      </c>
      <c r="F108" s="20">
        <v>4</v>
      </c>
      <c r="G108" s="20">
        <v>5</v>
      </c>
      <c r="H108" s="20">
        <v>6</v>
      </c>
      <c r="I108" s="20">
        <v>7</v>
      </c>
      <c r="J108" s="20">
        <v>8</v>
      </c>
      <c r="K108" s="20">
        <v>9</v>
      </c>
      <c r="L108" s="20">
        <v>10</v>
      </c>
      <c r="M108" s="20">
        <v>11</v>
      </c>
      <c r="N108" s="20">
        <v>12</v>
      </c>
      <c r="O108" s="20">
        <v>13</v>
      </c>
      <c r="P108" s="20">
        <v>14</v>
      </c>
      <c r="Q108" s="20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2"/>
  <sheetViews>
    <sheetView zoomScale="83" zoomScaleNormal="83" workbookViewId="0">
      <selection activeCell="C6" sqref="C6"/>
    </sheetView>
  </sheetViews>
  <sheetFormatPr baseColWidth="10" defaultColWidth="10.83203125" defaultRowHeight="16" x14ac:dyDescent="0.2"/>
  <cols>
    <col min="1" max="2" width="22" style="7" customWidth="1"/>
    <col min="3" max="5" width="13.83203125" style="7" customWidth="1"/>
    <col min="6" max="7" width="12.83203125" style="7" customWidth="1"/>
    <col min="8" max="8" width="13.83203125" style="7" customWidth="1"/>
    <col min="9" max="14" width="11.83203125" style="7" customWidth="1"/>
    <col min="15" max="15" width="13.33203125" style="7" customWidth="1"/>
    <col min="16" max="20" width="11.83203125" style="7" customWidth="1"/>
    <col min="21" max="21" width="11.33203125" style="7" customWidth="1"/>
    <col min="22" max="23" width="10.83203125" style="7"/>
    <col min="24" max="24" width="11.33203125" style="7" customWidth="1"/>
    <col min="25" max="16384" width="10.83203125" style="7"/>
  </cols>
  <sheetData>
    <row r="1" spans="1:26" ht="15.75" customHeight="1" x14ac:dyDescent="0.2">
      <c r="A1" s="57"/>
      <c r="B1" s="57"/>
      <c r="C1" s="181" t="s">
        <v>50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 t="s">
        <v>51</v>
      </c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spans="1:26" ht="15.75" customHeight="1" x14ac:dyDescent="0.2">
      <c r="A2" s="57"/>
      <c r="B2" s="57"/>
      <c r="C2" s="181" t="s">
        <v>52</v>
      </c>
      <c r="D2" s="181"/>
      <c r="E2" s="181"/>
      <c r="F2" s="181" t="s">
        <v>53</v>
      </c>
      <c r="G2" s="181"/>
      <c r="H2" s="181"/>
      <c r="I2" s="181" t="s">
        <v>54</v>
      </c>
      <c r="J2" s="181"/>
      <c r="K2" s="181"/>
      <c r="L2" s="181" t="s">
        <v>55</v>
      </c>
      <c r="M2" s="181"/>
      <c r="N2" s="181"/>
      <c r="O2" s="181" t="s">
        <v>52</v>
      </c>
      <c r="P2" s="181"/>
      <c r="Q2" s="181"/>
      <c r="R2" s="181" t="s">
        <v>53</v>
      </c>
      <c r="S2" s="181"/>
      <c r="T2" s="181"/>
      <c r="U2" s="181" t="s">
        <v>54</v>
      </c>
      <c r="V2" s="181"/>
      <c r="W2" s="181"/>
      <c r="X2" s="181" t="s">
        <v>55</v>
      </c>
      <c r="Y2" s="181"/>
      <c r="Z2" s="181"/>
    </row>
    <row r="3" spans="1:26" ht="16.5" customHeight="1" x14ac:dyDescent="0.2">
      <c r="A3" s="57"/>
      <c r="B3" s="57" t="s">
        <v>10</v>
      </c>
      <c r="C3" s="6">
        <v>2023</v>
      </c>
      <c r="D3" s="6">
        <v>2024</v>
      </c>
      <c r="E3" s="6">
        <v>2025</v>
      </c>
      <c r="F3" s="6">
        <v>2023</v>
      </c>
      <c r="G3" s="6">
        <v>2024</v>
      </c>
      <c r="H3" s="6">
        <v>2025</v>
      </c>
      <c r="I3" s="6">
        <v>2023</v>
      </c>
      <c r="J3" s="6">
        <v>2024</v>
      </c>
      <c r="K3" s="6">
        <v>2025</v>
      </c>
      <c r="L3" s="6">
        <v>2023</v>
      </c>
      <c r="M3" s="6">
        <v>2024</v>
      </c>
      <c r="N3" s="6">
        <v>2025</v>
      </c>
      <c r="O3" s="6">
        <v>2026</v>
      </c>
      <c r="P3" s="6">
        <v>2027</v>
      </c>
      <c r="Q3" s="6">
        <v>2028</v>
      </c>
      <c r="R3" s="6">
        <v>2026</v>
      </c>
      <c r="S3" s="6">
        <v>2027</v>
      </c>
      <c r="T3" s="6">
        <v>2028</v>
      </c>
      <c r="U3" s="6">
        <v>2026</v>
      </c>
      <c r="V3" s="6">
        <v>2027</v>
      </c>
      <c r="W3" s="6">
        <v>2028</v>
      </c>
      <c r="X3" s="6">
        <v>2026</v>
      </c>
      <c r="Y3" s="6">
        <v>2027</v>
      </c>
      <c r="Z3" s="6">
        <v>2028</v>
      </c>
    </row>
    <row r="4" spans="1:26" ht="33.75" customHeight="1" x14ac:dyDescent="0.2">
      <c r="A4" s="57" t="s">
        <v>56</v>
      </c>
      <c r="B4" s="57" t="s">
        <v>12</v>
      </c>
      <c r="C4" s="6">
        <v>4293</v>
      </c>
      <c r="D4" s="6">
        <v>4299</v>
      </c>
      <c r="E4" s="6">
        <v>4252</v>
      </c>
      <c r="F4" s="6">
        <v>617.4</v>
      </c>
      <c r="G4" s="6">
        <v>625.29999999999995</v>
      </c>
      <c r="H4" s="6">
        <v>614.20000000000005</v>
      </c>
      <c r="I4" s="6">
        <v>2652.2</v>
      </c>
      <c r="J4" s="6">
        <v>2702.3</v>
      </c>
      <c r="K4" s="6">
        <v>2602.1</v>
      </c>
      <c r="L4" s="6">
        <v>719.3</v>
      </c>
      <c r="M4" s="6">
        <v>735.2</v>
      </c>
      <c r="N4" s="6">
        <v>690.5</v>
      </c>
      <c r="O4" s="6">
        <v>4308</v>
      </c>
      <c r="P4" s="6">
        <v>4308</v>
      </c>
      <c r="Q4" s="6">
        <v>4308</v>
      </c>
      <c r="R4" s="6">
        <v>620</v>
      </c>
      <c r="S4" s="6">
        <v>620</v>
      </c>
      <c r="T4" s="6">
        <v>620</v>
      </c>
      <c r="U4" s="6">
        <v>2649</v>
      </c>
      <c r="V4" s="6">
        <v>2649</v>
      </c>
      <c r="W4" s="6">
        <v>2649</v>
      </c>
      <c r="X4" s="6">
        <v>710</v>
      </c>
      <c r="Y4" s="6">
        <v>710</v>
      </c>
      <c r="Z4" s="6">
        <v>710</v>
      </c>
    </row>
    <row r="5" spans="1:26" ht="33.75" customHeight="1" x14ac:dyDescent="0.2">
      <c r="A5" s="57" t="s">
        <v>57</v>
      </c>
      <c r="B5" s="57" t="s">
        <v>58</v>
      </c>
      <c r="C5" s="58">
        <v>1292.95</v>
      </c>
      <c r="D5" s="58">
        <v>1294.75</v>
      </c>
      <c r="E5" s="58">
        <v>1280.5999999999999</v>
      </c>
      <c r="F5" s="58">
        <v>222.64</v>
      </c>
      <c r="G5" s="58">
        <v>225.49</v>
      </c>
      <c r="H5" s="58">
        <v>221.48</v>
      </c>
      <c r="I5" s="58">
        <v>589.1</v>
      </c>
      <c r="J5" s="58">
        <v>600.23</v>
      </c>
      <c r="K5" s="58">
        <v>577.97</v>
      </c>
      <c r="L5" s="58">
        <v>205.11</v>
      </c>
      <c r="M5" s="58">
        <v>209.64</v>
      </c>
      <c r="N5" s="58">
        <v>196.9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 x14ac:dyDescent="0.2">
      <c r="A6" s="57" t="s">
        <v>59</v>
      </c>
      <c r="B6" s="57" t="s">
        <v>60</v>
      </c>
      <c r="C6" s="58">
        <v>1740.50961538462</v>
      </c>
      <c r="D6" s="58">
        <v>1742.9326923076901</v>
      </c>
      <c r="E6" s="58">
        <v>1747.4074074074099</v>
      </c>
      <c r="F6" s="58">
        <v>299.70769230769201</v>
      </c>
      <c r="G6" s="58">
        <v>303.54423076923098</v>
      </c>
      <c r="H6" s="58">
        <v>302.21442495126701</v>
      </c>
      <c r="I6" s="6"/>
      <c r="J6" s="6"/>
      <c r="K6" s="6"/>
      <c r="L6" s="58">
        <v>276.10961538461498</v>
      </c>
      <c r="M6" s="58">
        <v>282.20769230769201</v>
      </c>
      <c r="N6" s="58">
        <v>268.67446393762202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.5" customHeight="1" x14ac:dyDescent="0.2">
      <c r="A7" s="57" t="s">
        <v>61</v>
      </c>
      <c r="B7" s="57" t="s">
        <v>60</v>
      </c>
      <c r="C7" s="6"/>
      <c r="D7" s="6"/>
      <c r="E7" s="6"/>
      <c r="F7" s="6"/>
      <c r="G7" s="6"/>
      <c r="H7" s="6"/>
      <c r="I7" s="58">
        <v>420.78571428571399</v>
      </c>
      <c r="J7" s="58">
        <v>428.73571428571398</v>
      </c>
      <c r="K7" s="58">
        <v>413.679959100205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.5" customHeight="1" x14ac:dyDescent="0.2">
      <c r="A8" s="57" t="s">
        <v>62</v>
      </c>
      <c r="B8" s="57" t="s">
        <v>47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6">
        <v>578.08000000000004</v>
      </c>
      <c r="P8" s="6">
        <v>578.08000000000004</v>
      </c>
      <c r="Q8" s="6">
        <v>578.08000000000004</v>
      </c>
      <c r="R8" s="6">
        <v>82.423000000000002</v>
      </c>
      <c r="S8" s="6">
        <v>82.423000000000002</v>
      </c>
      <c r="T8" s="6">
        <v>82.423000000000002</v>
      </c>
      <c r="U8" s="6">
        <v>353.42399999999998</v>
      </c>
      <c r="V8" s="6">
        <v>353.42399999999998</v>
      </c>
      <c r="W8" s="6">
        <v>353.42399999999998</v>
      </c>
      <c r="X8" s="6">
        <v>94.825000000000003</v>
      </c>
      <c r="Y8" s="6">
        <v>94.825000000000003</v>
      </c>
      <c r="Z8" s="6">
        <v>94.825000000000003</v>
      </c>
    </row>
    <row r="9" spans="1:26" ht="16.5" customHeight="1" x14ac:dyDescent="0.2">
      <c r="A9" s="57" t="s">
        <v>63</v>
      </c>
      <c r="B9" s="57" t="s">
        <v>64</v>
      </c>
      <c r="C9" s="180">
        <v>3.6</v>
      </c>
      <c r="D9" s="180"/>
      <c r="E9" s="180"/>
      <c r="F9" s="180">
        <v>1.26</v>
      </c>
      <c r="G9" s="180"/>
      <c r="H9" s="180"/>
      <c r="I9" s="180">
        <v>2</v>
      </c>
      <c r="J9" s="180"/>
      <c r="K9" s="180"/>
      <c r="L9" s="180">
        <v>0.8</v>
      </c>
      <c r="M9" s="180"/>
      <c r="N9" s="180"/>
      <c r="O9" s="180">
        <v>2.5</v>
      </c>
      <c r="P9" s="180"/>
      <c r="Q9" s="180"/>
      <c r="R9" s="180">
        <v>0.4</v>
      </c>
      <c r="S9" s="180"/>
      <c r="T9" s="180"/>
      <c r="U9" s="180">
        <v>2</v>
      </c>
      <c r="V9" s="180"/>
      <c r="W9" s="180"/>
      <c r="X9" s="180">
        <v>0.8</v>
      </c>
      <c r="Y9" s="180"/>
      <c r="Z9" s="180"/>
    </row>
    <row r="10" spans="1:26" ht="16.5" customHeight="1" x14ac:dyDescent="0.2">
      <c r="A10" s="57" t="s">
        <v>65</v>
      </c>
      <c r="B10" s="57" t="s">
        <v>16</v>
      </c>
      <c r="C10" s="59">
        <f t="shared" ref="C10:N10" si="0">C4/(C5*7)</f>
        <v>0.47433057294227488</v>
      </c>
      <c r="D10" s="59">
        <f t="shared" si="0"/>
        <v>0.47433315863514741</v>
      </c>
      <c r="E10" s="59">
        <f t="shared" si="0"/>
        <v>0.47433122866513472</v>
      </c>
      <c r="F10" s="59">
        <f t="shared" si="0"/>
        <v>0.39615522817103843</v>
      </c>
      <c r="G10" s="59">
        <f t="shared" si="0"/>
        <v>0.39615313951204673</v>
      </c>
      <c r="H10" s="59">
        <f t="shared" si="0"/>
        <v>0.39616605175572128</v>
      </c>
      <c r="I10" s="59">
        <f t="shared" si="0"/>
        <v>0.64316026869073883</v>
      </c>
      <c r="J10" s="59">
        <f t="shared" si="0"/>
        <v>0.64315821792122541</v>
      </c>
      <c r="K10" s="59">
        <f t="shared" si="0"/>
        <v>0.6431623984438144</v>
      </c>
      <c r="L10" s="59">
        <f t="shared" si="0"/>
        <v>0.50098553389470457</v>
      </c>
      <c r="M10" s="59">
        <f t="shared" si="0"/>
        <v>0.50099490282661441</v>
      </c>
      <c r="N10" s="59">
        <f t="shared" si="0"/>
        <v>0.5009794674599144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51" customHeight="1" x14ac:dyDescent="0.2">
      <c r="A11" s="57" t="s">
        <v>66</v>
      </c>
      <c r="B11" s="57" t="s">
        <v>67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6">
        <v>106928</v>
      </c>
      <c r="P11" s="6">
        <v>106928</v>
      </c>
      <c r="Q11" s="6">
        <v>106928</v>
      </c>
      <c r="R11" s="6">
        <v>33675</v>
      </c>
      <c r="S11" s="6">
        <v>33675</v>
      </c>
      <c r="T11" s="6">
        <v>33675</v>
      </c>
      <c r="U11" s="6">
        <v>103792</v>
      </c>
      <c r="V11" s="6">
        <v>103792</v>
      </c>
      <c r="W11" s="6">
        <v>103792</v>
      </c>
      <c r="X11" s="6">
        <v>33675</v>
      </c>
      <c r="Y11" s="6">
        <v>33675</v>
      </c>
      <c r="Z11" s="6">
        <v>33675</v>
      </c>
    </row>
    <row r="12" spans="1:26" ht="16.5" customHeight="1" x14ac:dyDescent="0.2">
      <c r="A12" s="57" t="s">
        <v>68</v>
      </c>
      <c r="B12" s="57" t="s">
        <v>69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6">
        <v>8126</v>
      </c>
      <c r="P12" s="6">
        <v>8126</v>
      </c>
      <c r="Q12" s="6">
        <v>8126</v>
      </c>
      <c r="R12" s="6">
        <v>8126</v>
      </c>
      <c r="S12" s="6">
        <v>8126</v>
      </c>
      <c r="T12" s="6">
        <v>8126</v>
      </c>
      <c r="U12" s="6">
        <v>8126</v>
      </c>
      <c r="V12" s="6">
        <v>8126</v>
      </c>
      <c r="W12" s="6">
        <v>8126</v>
      </c>
      <c r="X12" s="6">
        <v>8126</v>
      </c>
      <c r="Y12" s="6">
        <v>8126</v>
      </c>
      <c r="Z12" s="6">
        <v>8126</v>
      </c>
    </row>
    <row r="13" spans="1:26" ht="16.5" customHeight="1" x14ac:dyDescent="0.2">
      <c r="A13" s="57" t="s">
        <v>70</v>
      </c>
      <c r="B13" s="57" t="s">
        <v>71</v>
      </c>
      <c r="C13" s="6">
        <v>5200</v>
      </c>
      <c r="D13" s="6">
        <v>5200</v>
      </c>
      <c r="E13" s="6">
        <v>5130</v>
      </c>
      <c r="F13" s="6">
        <v>5200</v>
      </c>
      <c r="G13" s="6">
        <v>5200</v>
      </c>
      <c r="H13" s="6">
        <v>5130</v>
      </c>
      <c r="I13" s="6"/>
      <c r="J13" s="6"/>
      <c r="K13" s="6"/>
      <c r="L13" s="6">
        <v>5200</v>
      </c>
      <c r="M13" s="6">
        <v>5200</v>
      </c>
      <c r="N13" s="6">
        <v>5130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.5" customHeight="1" x14ac:dyDescent="0.2">
      <c r="A14" s="57" t="s">
        <v>72</v>
      </c>
      <c r="B14" s="57" t="s">
        <v>71</v>
      </c>
      <c r="C14" s="6"/>
      <c r="D14" s="6"/>
      <c r="E14" s="6"/>
      <c r="F14" s="6"/>
      <c r="G14" s="6"/>
      <c r="H14" s="6"/>
      <c r="I14" s="6">
        <v>9800</v>
      </c>
      <c r="J14" s="6">
        <v>9800</v>
      </c>
      <c r="K14" s="6">
        <v>9780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6" spans="1:26" ht="33.75" customHeight="1" x14ac:dyDescent="0.2">
      <c r="A16" s="57" t="s">
        <v>73</v>
      </c>
      <c r="B16" s="57" t="s">
        <v>74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60">
        <f>ROUND(O8/O4,3)</f>
        <v>0.13400000000000001</v>
      </c>
      <c r="P16" s="60">
        <f t="shared" ref="O16:Z16" si="1">ROUND(P8/P4,3)</f>
        <v>0.13400000000000001</v>
      </c>
      <c r="Q16" s="60">
        <f t="shared" si="1"/>
        <v>0.13400000000000001</v>
      </c>
      <c r="R16" s="60">
        <f t="shared" si="1"/>
        <v>0.13300000000000001</v>
      </c>
      <c r="S16" s="60">
        <f t="shared" si="1"/>
        <v>0.13300000000000001</v>
      </c>
      <c r="T16" s="60">
        <f t="shared" si="1"/>
        <v>0.13300000000000001</v>
      </c>
      <c r="U16" s="60">
        <f t="shared" si="1"/>
        <v>0.13300000000000001</v>
      </c>
      <c r="V16" s="60">
        <f t="shared" si="1"/>
        <v>0.13300000000000001</v>
      </c>
      <c r="W16" s="60">
        <f t="shared" si="1"/>
        <v>0.13300000000000001</v>
      </c>
      <c r="X16" s="60">
        <f t="shared" si="1"/>
        <v>0.13400000000000001</v>
      </c>
      <c r="Y16" s="60">
        <f t="shared" si="1"/>
        <v>0.13400000000000001</v>
      </c>
      <c r="Z16" s="60">
        <f t="shared" si="1"/>
        <v>0.13400000000000001</v>
      </c>
    </row>
    <row r="17" spans="1:26" ht="33.75" customHeight="1" x14ac:dyDescent="0.2">
      <c r="A17" s="57" t="s">
        <v>73</v>
      </c>
      <c r="B17" s="57" t="s">
        <v>75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61">
        <f>O16*O12/7000</f>
        <v>0.15555485714285713</v>
      </c>
      <c r="P17" s="60">
        <f t="shared" ref="O17:Z17" si="2">P16*P12/7000</f>
        <v>0.15555485714285713</v>
      </c>
      <c r="Q17" s="60">
        <f t="shared" si="2"/>
        <v>0.15555485714285713</v>
      </c>
      <c r="R17" s="60">
        <f t="shared" si="2"/>
        <v>0.154394</v>
      </c>
      <c r="S17" s="60">
        <f t="shared" si="2"/>
        <v>0.154394</v>
      </c>
      <c r="T17" s="60">
        <f t="shared" si="2"/>
        <v>0.154394</v>
      </c>
      <c r="U17" s="60">
        <f t="shared" si="2"/>
        <v>0.154394</v>
      </c>
      <c r="V17" s="60">
        <f t="shared" si="2"/>
        <v>0.154394</v>
      </c>
      <c r="W17" s="60">
        <f t="shared" si="2"/>
        <v>0.154394</v>
      </c>
      <c r="X17" s="60">
        <f t="shared" si="2"/>
        <v>0.15555485714285713</v>
      </c>
      <c r="Y17" s="60">
        <f t="shared" si="2"/>
        <v>0.15555485714285713</v>
      </c>
      <c r="Z17" s="60">
        <f t="shared" si="2"/>
        <v>0.15555485714285713</v>
      </c>
    </row>
    <row r="18" spans="1:26" ht="33.75" customHeight="1" x14ac:dyDescent="0.2">
      <c r="A18" s="57" t="s">
        <v>76</v>
      </c>
      <c r="B18" s="57" t="s">
        <v>77</v>
      </c>
      <c r="C18" s="62">
        <f t="shared" ref="C18:H18" si="3">ROUND(C6/C4,3)</f>
        <v>0.40500000000000003</v>
      </c>
      <c r="D18" s="62">
        <f t="shared" si="3"/>
        <v>0.40500000000000003</v>
      </c>
      <c r="E18" s="62">
        <f t="shared" si="3"/>
        <v>0.41099999999999998</v>
      </c>
      <c r="F18" s="62">
        <f t="shared" si="3"/>
        <v>0.48499999999999999</v>
      </c>
      <c r="G18" s="62">
        <f t="shared" si="3"/>
        <v>0.48499999999999999</v>
      </c>
      <c r="H18" s="62">
        <f t="shared" si="3"/>
        <v>0.49199999999999999</v>
      </c>
      <c r="I18" s="62"/>
      <c r="J18" s="62"/>
      <c r="K18" s="62"/>
      <c r="L18" s="62">
        <f>ROUND(L6/L4,3)</f>
        <v>0.38400000000000001</v>
      </c>
      <c r="M18" s="62">
        <f>ROUND(M6/M4,3)</f>
        <v>0.38400000000000001</v>
      </c>
      <c r="N18" s="62">
        <f>ROUND(N6/N4,3)</f>
        <v>0.38900000000000001</v>
      </c>
    </row>
    <row r="19" spans="1:26" ht="33.75" customHeight="1" x14ac:dyDescent="0.2">
      <c r="A19" s="57" t="s">
        <v>78</v>
      </c>
      <c r="B19" s="57" t="s">
        <v>77</v>
      </c>
      <c r="C19" s="62"/>
      <c r="D19" s="62"/>
      <c r="E19" s="62"/>
      <c r="F19" s="62"/>
      <c r="G19" s="62"/>
      <c r="H19" s="62"/>
      <c r="I19" s="62">
        <f>ROUND(I7/I4,3)</f>
        <v>0.159</v>
      </c>
      <c r="J19" s="62">
        <f>ROUND(J7/J4,3)</f>
        <v>0.159</v>
      </c>
      <c r="K19" s="62">
        <f>ROUND(K7/K4,3)</f>
        <v>0.159</v>
      </c>
      <c r="L19" s="62"/>
      <c r="M19" s="62"/>
      <c r="N19" s="62"/>
      <c r="O19" s="7">
        <f>O20/0.92</f>
        <v>668.94409937888202</v>
      </c>
    </row>
    <row r="20" spans="1:26" x14ac:dyDescent="0.2">
      <c r="O20" s="7">
        <f>O4/7</f>
        <v>615.42857142857144</v>
      </c>
    </row>
    <row r="22" spans="1:26" x14ac:dyDescent="0.2">
      <c r="O22" s="7">
        <f>O8*8.126/7</f>
        <v>671.06829714285709</v>
      </c>
    </row>
  </sheetData>
  <mergeCells count="21">
    <mergeCell ref="C1:N1"/>
    <mergeCell ref="O1:Z1"/>
    <mergeCell ref="C2:E2"/>
    <mergeCell ref="F2:H2"/>
    <mergeCell ref="I2:K2"/>
    <mergeCell ref="L2:N2"/>
    <mergeCell ref="O2:Q2"/>
    <mergeCell ref="R2:T2"/>
    <mergeCell ref="U2:W2"/>
    <mergeCell ref="X2:Z2"/>
    <mergeCell ref="C8:N8"/>
    <mergeCell ref="C9:E9"/>
    <mergeCell ref="F9:H9"/>
    <mergeCell ref="I9:K9"/>
    <mergeCell ref="L9:N9"/>
    <mergeCell ref="C12:N12"/>
    <mergeCell ref="O9:Q9"/>
    <mergeCell ref="R9:T9"/>
    <mergeCell ref="U9:W9"/>
    <mergeCell ref="X9:Z9"/>
    <mergeCell ref="C11:N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3"/>
  <sheetViews>
    <sheetView zoomScaleNormal="100" workbookViewId="0">
      <selection activeCell="E16" sqref="E16:E20"/>
    </sheetView>
  </sheetViews>
  <sheetFormatPr baseColWidth="10" defaultColWidth="10.6640625" defaultRowHeight="16" x14ac:dyDescent="0.2"/>
  <cols>
    <col min="3" max="3" width="22.6640625" customWidth="1"/>
    <col min="4" max="4" width="15.1640625" customWidth="1"/>
    <col min="5" max="5" width="15.6640625" customWidth="1"/>
    <col min="6" max="6" width="18.33203125" customWidth="1"/>
    <col min="8" max="8" width="11.5" bestFit="1" customWidth="1"/>
  </cols>
  <sheetData>
    <row r="2" spans="2:8" ht="51" customHeight="1" x14ac:dyDescent="0.2">
      <c r="B2" s="7"/>
      <c r="C2" s="63"/>
      <c r="D2" s="64" t="s">
        <v>79</v>
      </c>
      <c r="E2" s="64" t="s">
        <v>80</v>
      </c>
      <c r="F2" s="64" t="s">
        <v>81</v>
      </c>
    </row>
    <row r="3" spans="2:8" ht="16.5" customHeight="1" x14ac:dyDescent="0.2">
      <c r="B3" s="7"/>
      <c r="C3" s="63" t="s">
        <v>3</v>
      </c>
      <c r="D3" s="63" t="s">
        <v>4</v>
      </c>
      <c r="E3" s="63" t="s">
        <v>4</v>
      </c>
      <c r="F3" s="63" t="s">
        <v>4</v>
      </c>
    </row>
    <row r="4" spans="2:8" ht="15.75" customHeight="1" x14ac:dyDescent="0.2">
      <c r="B4">
        <v>1</v>
      </c>
      <c r="C4" s="65">
        <v>2027</v>
      </c>
      <c r="D4" s="66">
        <f>'Расчетная модель БС BAU '!C52</f>
        <v>4956</v>
      </c>
      <c r="E4" s="66">
        <f>'Расч-ая модель БС BAU cons'!C65</f>
        <v>4698</v>
      </c>
      <c r="F4" s="66">
        <f>'Расч-ая модель БС BAU adjust'!C65</f>
        <v>4667</v>
      </c>
      <c r="H4" s="178"/>
    </row>
    <row r="5" spans="2:8" ht="15.75" customHeight="1" x14ac:dyDescent="0.2">
      <c r="B5">
        <v>2</v>
      </c>
      <c r="C5" s="65">
        <v>2028</v>
      </c>
      <c r="D5" s="66">
        <f>'Расчетная модель БС BAU '!D52</f>
        <v>4956</v>
      </c>
      <c r="E5" s="66">
        <f>'Расч-ая модель БС BAU cons'!D65</f>
        <v>4698</v>
      </c>
      <c r="F5" s="66">
        <f>'Расч-ая модель БС BAU adjust'!D65</f>
        <v>4667</v>
      </c>
      <c r="H5" s="178"/>
    </row>
    <row r="6" spans="2:8" ht="15.75" customHeight="1" x14ac:dyDescent="0.2">
      <c r="B6">
        <v>3</v>
      </c>
      <c r="C6" s="65">
        <v>2029</v>
      </c>
      <c r="D6" s="66">
        <f>'Расчетная модель БС BAU '!E52</f>
        <v>4635</v>
      </c>
      <c r="E6" s="66">
        <f>'Расч-ая модель БС BAU cons'!E65</f>
        <v>4394</v>
      </c>
      <c r="F6" s="66">
        <f>'Расч-ая модель БС BAU adjust'!E65</f>
        <v>4356</v>
      </c>
      <c r="H6" s="178"/>
    </row>
    <row r="7" spans="2:8" ht="15.75" customHeight="1" x14ac:dyDescent="0.2">
      <c r="B7">
        <v>4</v>
      </c>
      <c r="C7" s="65">
        <v>2030</v>
      </c>
      <c r="D7" s="66">
        <f>'Расчетная модель БС BAU '!F52</f>
        <v>4459</v>
      </c>
      <c r="E7" s="66">
        <f>'Расч-ая модель БС BAU cons'!F65</f>
        <v>4227</v>
      </c>
      <c r="F7" s="66">
        <f>'Расч-ая модель БС BAU adjust'!F65</f>
        <v>4164</v>
      </c>
      <c r="H7" s="178"/>
    </row>
    <row r="8" spans="2:8" ht="15.75" customHeight="1" x14ac:dyDescent="0.2">
      <c r="B8">
        <v>5</v>
      </c>
      <c r="C8" s="65">
        <v>2031</v>
      </c>
      <c r="D8" s="66">
        <f>'Расчетная модель БС BAU '!G52</f>
        <v>4459</v>
      </c>
      <c r="E8" s="66">
        <f>'Расч-ая модель БС BAU cons'!G65</f>
        <v>4227</v>
      </c>
      <c r="F8" s="66">
        <f>'Расч-ая модель БС BAU adjust'!H65</f>
        <v>4164</v>
      </c>
      <c r="H8" s="178"/>
    </row>
    <row r="9" spans="2:8" ht="15.75" customHeight="1" x14ac:dyDescent="0.2">
      <c r="C9" s="67" t="s">
        <v>5</v>
      </c>
      <c r="D9" s="68">
        <f>SUM(D4:D8)</f>
        <v>23465</v>
      </c>
      <c r="E9" s="68">
        <f>SUM(E4:E8)</f>
        <v>22244</v>
      </c>
      <c r="F9" s="68">
        <f>SUM(F4:F8)</f>
        <v>22018</v>
      </c>
      <c r="H9" s="12"/>
    </row>
    <row r="10" spans="2:8" ht="15.75" customHeight="1" x14ac:dyDescent="0.2">
      <c r="B10">
        <v>6</v>
      </c>
      <c r="C10" s="65">
        <v>2032</v>
      </c>
      <c r="D10" s="66">
        <f>'Расчетная модель БС BAU '!H52</f>
        <v>4459</v>
      </c>
      <c r="E10" s="66">
        <f>'Расч-ая модель БС BAU cons'!H65</f>
        <v>4227</v>
      </c>
      <c r="F10" s="66">
        <f>'Расч-ая модель БС BAU adjust'!H65</f>
        <v>4164</v>
      </c>
      <c r="H10" s="12"/>
    </row>
    <row r="11" spans="2:8" ht="15.75" customHeight="1" x14ac:dyDescent="0.2">
      <c r="B11">
        <v>7</v>
      </c>
      <c r="C11" s="65">
        <v>2033</v>
      </c>
      <c r="D11" s="66">
        <f>'Расчетная модель БС BAU '!I52</f>
        <v>4459</v>
      </c>
      <c r="E11" s="66">
        <f>'Расч-ая модель БС BAU cons'!I65</f>
        <v>4227</v>
      </c>
      <c r="F11" s="66">
        <f>'Расч-ая модель БС BAU adjust'!I65</f>
        <v>4164</v>
      </c>
      <c r="H11" s="12"/>
    </row>
    <row r="12" spans="2:8" ht="15.75" customHeight="1" x14ac:dyDescent="0.2">
      <c r="B12">
        <v>8</v>
      </c>
      <c r="C12" s="65">
        <v>2034</v>
      </c>
      <c r="D12" s="66">
        <f>'Расчетная модель БС BAU '!J52</f>
        <v>4459</v>
      </c>
      <c r="E12" s="66">
        <f>'Расч-ая модель БС BAU cons'!J65</f>
        <v>4227</v>
      </c>
      <c r="F12" s="66">
        <f>'Расч-ая модель БС BAU adjust'!J65</f>
        <v>4164</v>
      </c>
      <c r="H12" s="12"/>
    </row>
    <row r="13" spans="2:8" ht="15.75" customHeight="1" x14ac:dyDescent="0.2">
      <c r="B13">
        <v>9</v>
      </c>
      <c r="C13" s="65">
        <v>2035</v>
      </c>
      <c r="D13" s="66">
        <f>'Расчетная модель БС BAU '!K52</f>
        <v>4459</v>
      </c>
      <c r="E13" s="66">
        <f>'Расч-ая модель БС BAU cons'!K65</f>
        <v>4227</v>
      </c>
      <c r="F13" s="66">
        <f>'Расч-ая модель БС BAU adjust'!K65</f>
        <v>4164</v>
      </c>
      <c r="H13" s="12"/>
    </row>
    <row r="14" spans="2:8" ht="15.75" customHeight="1" x14ac:dyDescent="0.2">
      <c r="B14">
        <v>10</v>
      </c>
      <c r="C14" s="65">
        <v>2036</v>
      </c>
      <c r="D14" s="66">
        <f>'Расчетная модель БС BAU '!L52</f>
        <v>4459</v>
      </c>
      <c r="E14" s="66">
        <f>'Расч-ая модель БС BAU cons'!L65</f>
        <v>4227</v>
      </c>
      <c r="F14" s="66">
        <f>'Расч-ая модель БС BAU adjust'!L65</f>
        <v>4164</v>
      </c>
      <c r="H14" s="12"/>
    </row>
    <row r="15" spans="2:8" ht="15.75" customHeight="1" x14ac:dyDescent="0.2">
      <c r="C15" s="67" t="s">
        <v>5</v>
      </c>
      <c r="D15" s="68">
        <f>SUM(D10:D14)</f>
        <v>22295</v>
      </c>
      <c r="E15" s="68">
        <f>SUM(E10:E14)</f>
        <v>21135</v>
      </c>
      <c r="F15" s="68">
        <f>SUM(F10:F14)</f>
        <v>20820</v>
      </c>
      <c r="H15" s="12"/>
    </row>
    <row r="16" spans="2:8" ht="15.75" customHeight="1" x14ac:dyDescent="0.2">
      <c r="B16">
        <v>11</v>
      </c>
      <c r="C16" s="65">
        <v>2037</v>
      </c>
      <c r="D16" s="66">
        <f>'Расчетная модель БС BAU '!M52</f>
        <v>3894</v>
      </c>
      <c r="E16" s="66">
        <f>'Расч-ая модель БС BAU cons'!M65</f>
        <v>3692</v>
      </c>
      <c r="F16" s="66">
        <f>'Расч-ая модель БС BAU adjust'!M65</f>
        <v>3608</v>
      </c>
      <c r="H16" s="12"/>
    </row>
    <row r="17" spans="2:8" ht="15.75" customHeight="1" x14ac:dyDescent="0.2">
      <c r="B17">
        <v>12</v>
      </c>
      <c r="C17" s="65">
        <v>2038</v>
      </c>
      <c r="D17" s="66">
        <f>'Расчетная модель БС BAU '!N52</f>
        <v>3689</v>
      </c>
      <c r="E17" s="66">
        <f>'Расч-ая модель БС BAU cons'!N65</f>
        <v>3497</v>
      </c>
      <c r="F17" s="66">
        <f>'Расч-ая модель БС BAU adjust'!N65</f>
        <v>3395</v>
      </c>
      <c r="H17" s="12"/>
    </row>
    <row r="18" spans="2:8" ht="15.75" customHeight="1" x14ac:dyDescent="0.2">
      <c r="B18">
        <v>13</v>
      </c>
      <c r="C18" s="65">
        <v>2039</v>
      </c>
      <c r="D18" s="66">
        <f>'Расчетная модель БС BAU '!O52</f>
        <v>3689</v>
      </c>
      <c r="E18" s="66">
        <f>'Расч-ая модель БС BAU cons'!O65</f>
        <v>3497</v>
      </c>
      <c r="F18" s="66">
        <f>'Расч-ая модель БС BAU adjust'!O65</f>
        <v>3395</v>
      </c>
      <c r="H18" s="12"/>
    </row>
    <row r="19" spans="2:8" ht="15.75" customHeight="1" x14ac:dyDescent="0.2">
      <c r="B19">
        <v>14</v>
      </c>
      <c r="C19" s="65">
        <v>2040</v>
      </c>
      <c r="D19" s="66">
        <f>'Расчетная модель БС BAU '!P52</f>
        <v>3689</v>
      </c>
      <c r="E19" s="66">
        <f>'Расч-ая модель БС BAU cons'!P65</f>
        <v>3497</v>
      </c>
      <c r="F19" s="66">
        <f>'Расч-ая модель БС BAU adjust'!P65</f>
        <v>3395</v>
      </c>
      <c r="H19" s="12"/>
    </row>
    <row r="20" spans="2:8" ht="15.75" customHeight="1" x14ac:dyDescent="0.2">
      <c r="B20">
        <v>15</v>
      </c>
      <c r="C20" s="65">
        <v>2041</v>
      </c>
      <c r="D20" s="66">
        <f>'Расчетная модель БС BAU '!Q52</f>
        <v>3689</v>
      </c>
      <c r="E20" s="66">
        <f>'Расч-ая модель БС BAU cons'!Q65</f>
        <v>3497</v>
      </c>
      <c r="F20" s="66">
        <f>'Расч-ая модель БС BAU adjust'!Q65</f>
        <v>3395</v>
      </c>
      <c r="H20" s="12"/>
    </row>
    <row r="21" spans="2:8" ht="15.75" customHeight="1" x14ac:dyDescent="0.2">
      <c r="C21" s="67" t="s">
        <v>5</v>
      </c>
      <c r="D21" s="68">
        <f>SUM(D16:D20)</f>
        <v>18650</v>
      </c>
      <c r="E21" s="68">
        <f>SUM(E16:E20)</f>
        <v>17680</v>
      </c>
      <c r="F21" s="68">
        <f>SUM(F16:F20)</f>
        <v>17188</v>
      </c>
      <c r="H21" s="12"/>
    </row>
    <row r="22" spans="2:8" ht="15.75" customHeight="1" x14ac:dyDescent="0.2">
      <c r="C22" s="65"/>
      <c r="D22" s="65"/>
      <c r="F22" s="7"/>
    </row>
    <row r="23" spans="2:8" ht="15.75" customHeight="1" x14ac:dyDescent="0.2">
      <c r="C23" s="67" t="s">
        <v>82</v>
      </c>
      <c r="D23" s="68">
        <f>SUM(D9,D15,D21)</f>
        <v>64410</v>
      </c>
      <c r="E23" s="68">
        <f>SUM(E9,E15,E21)</f>
        <v>61059</v>
      </c>
      <c r="F23" s="68">
        <f>SUM(F9,F15,F21)</f>
        <v>60026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A15" zoomScale="90" zoomScaleNormal="90" workbookViewId="0">
      <selection activeCell="C41" sqref="C41"/>
    </sheetView>
  </sheetViews>
  <sheetFormatPr baseColWidth="10" defaultColWidth="10.6640625" defaultRowHeight="16" x14ac:dyDescent="0.2"/>
  <cols>
    <col min="1" max="1" width="48.6640625" style="19" customWidth="1"/>
    <col min="2" max="2" width="13.5" style="20" customWidth="1"/>
    <col min="3" max="3" width="19" style="20" customWidth="1"/>
    <col min="4" max="4" width="13.33203125" style="20" customWidth="1"/>
    <col min="5" max="17" width="12.5" style="20" customWidth="1"/>
    <col min="18" max="18" width="41.1640625" customWidth="1"/>
  </cols>
  <sheetData>
    <row r="2" spans="1:18" ht="15.75" customHeight="1" x14ac:dyDescent="0.2">
      <c r="A2" s="21" t="s">
        <v>8</v>
      </c>
      <c r="B2" s="22" t="s">
        <v>3</v>
      </c>
      <c r="C2" s="22">
        <v>2027</v>
      </c>
      <c r="D2" s="22">
        <v>2028</v>
      </c>
      <c r="E2" s="22">
        <v>2029</v>
      </c>
      <c r="F2" s="22">
        <v>2030</v>
      </c>
      <c r="G2" s="22">
        <v>2031</v>
      </c>
      <c r="H2" s="22">
        <v>2032</v>
      </c>
      <c r="I2" s="22">
        <v>2033</v>
      </c>
      <c r="J2" s="22">
        <v>2034</v>
      </c>
      <c r="K2" s="22">
        <v>2035</v>
      </c>
      <c r="L2" s="22">
        <v>2036</v>
      </c>
      <c r="M2" s="22">
        <v>2037</v>
      </c>
      <c r="N2" s="22">
        <v>2038</v>
      </c>
      <c r="O2" s="22">
        <v>2039</v>
      </c>
      <c r="P2" s="22">
        <v>2040</v>
      </c>
      <c r="Q2" s="22">
        <v>2041</v>
      </c>
      <c r="R2" t="s">
        <v>9</v>
      </c>
    </row>
    <row r="3" spans="1:18" ht="16.5" customHeight="1" x14ac:dyDescent="0.2">
      <c r="A3" s="23"/>
      <c r="B3" s="6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16.5" customHeight="1" x14ac:dyDescent="0.2">
      <c r="A4" s="23" t="s">
        <v>11</v>
      </c>
      <c r="B4" s="6" t="s">
        <v>12</v>
      </c>
      <c r="C4" s="25">
        <f>'Исходные данные'!$O$4</f>
        <v>4308</v>
      </c>
      <c r="D4" s="25">
        <f>'Исходные данные'!$O$4</f>
        <v>4308</v>
      </c>
      <c r="E4" s="25">
        <f>'Исходные данные'!$O$4</f>
        <v>4308</v>
      </c>
      <c r="F4" s="25">
        <f>'Исходные данные'!$O$4</f>
        <v>4308</v>
      </c>
      <c r="G4" s="25">
        <f>'Исходные данные'!$O$4</f>
        <v>4308</v>
      </c>
      <c r="H4" s="25">
        <f>'Исходные данные'!$O$4</f>
        <v>4308</v>
      </c>
      <c r="I4" s="25">
        <f>'Исходные данные'!$O$4</f>
        <v>4308</v>
      </c>
      <c r="J4" s="25">
        <f>'Исходные данные'!$O$4</f>
        <v>4308</v>
      </c>
      <c r="K4" s="25">
        <f>'Исходные данные'!$O$4</f>
        <v>4308</v>
      </c>
      <c r="L4" s="25">
        <f>'Исходные данные'!$O$4</f>
        <v>4308</v>
      </c>
      <c r="M4" s="25">
        <f>'Исходные данные'!$O$4</f>
        <v>4308</v>
      </c>
      <c r="N4" s="25">
        <f>'Исходные данные'!$O$4</f>
        <v>4308</v>
      </c>
      <c r="O4" s="25">
        <f>'Исходные данные'!$O$4</f>
        <v>4308</v>
      </c>
      <c r="P4" s="25">
        <f>'Исходные данные'!$O$4</f>
        <v>4308</v>
      </c>
      <c r="Q4" s="25">
        <f>'Исходные данные'!$O$4</f>
        <v>4308</v>
      </c>
    </row>
    <row r="5" spans="1:18" ht="16.5" customHeight="1" x14ac:dyDescent="0.2">
      <c r="A5" s="23" t="s">
        <v>11</v>
      </c>
      <c r="B5" s="6" t="s">
        <v>13</v>
      </c>
      <c r="C5" s="25">
        <f t="shared" ref="C5:Q5" si="0">C4*4.1868</f>
        <v>18036.734400000001</v>
      </c>
      <c r="D5" s="25">
        <f t="shared" si="0"/>
        <v>18036.734400000001</v>
      </c>
      <c r="E5" s="25">
        <f t="shared" si="0"/>
        <v>18036.734400000001</v>
      </c>
      <c r="F5" s="25">
        <f t="shared" si="0"/>
        <v>18036.734400000001</v>
      </c>
      <c r="G5" s="25">
        <f t="shared" si="0"/>
        <v>18036.734400000001</v>
      </c>
      <c r="H5" s="25">
        <f t="shared" si="0"/>
        <v>18036.734400000001</v>
      </c>
      <c r="I5" s="25">
        <f t="shared" si="0"/>
        <v>18036.734400000001</v>
      </c>
      <c r="J5" s="25">
        <f t="shared" si="0"/>
        <v>18036.734400000001</v>
      </c>
      <c r="K5" s="25">
        <f t="shared" si="0"/>
        <v>18036.734400000001</v>
      </c>
      <c r="L5" s="25">
        <f t="shared" si="0"/>
        <v>18036.734400000001</v>
      </c>
      <c r="M5" s="25">
        <f t="shared" si="0"/>
        <v>18036.734400000001</v>
      </c>
      <c r="N5" s="25">
        <f t="shared" si="0"/>
        <v>18036.734400000001</v>
      </c>
      <c r="O5" s="25">
        <f t="shared" si="0"/>
        <v>18036.734400000001</v>
      </c>
      <c r="P5" s="25">
        <f t="shared" si="0"/>
        <v>18036.734400000001</v>
      </c>
      <c r="Q5" s="25">
        <f t="shared" si="0"/>
        <v>18036.734400000001</v>
      </c>
    </row>
    <row r="6" spans="1:18" ht="15.75" customHeight="1" x14ac:dyDescent="0.2">
      <c r="A6" s="23"/>
      <c r="B6" s="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16.5" customHeight="1" x14ac:dyDescent="0.2">
      <c r="A7" s="69" t="s">
        <v>14</v>
      </c>
      <c r="B7" s="6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8" ht="51" customHeight="1" x14ac:dyDescent="0.2">
      <c r="A8" s="23" t="s">
        <v>15</v>
      </c>
      <c r="B8" s="6" t="s">
        <v>16</v>
      </c>
      <c r="C8" s="25">
        <f>'Котельные факт + нов'!G32</f>
        <v>68.33</v>
      </c>
      <c r="D8" s="25">
        <f>'Котельные факт + нов'!H32</f>
        <v>68.33</v>
      </c>
      <c r="E8" s="25">
        <f>'Котельные факт + нов'!I32</f>
        <v>68.33</v>
      </c>
      <c r="F8" s="25">
        <f>'Котельные факт + нов'!J32</f>
        <v>68.33</v>
      </c>
      <c r="G8" s="25">
        <f>'Котельные факт + нов'!K32</f>
        <v>68.33</v>
      </c>
      <c r="H8" s="25">
        <f>'Котельные факт + нов'!L32</f>
        <v>68.33</v>
      </c>
      <c r="I8" s="25">
        <f>'Котельные факт + нов'!M32</f>
        <v>68.33</v>
      </c>
      <c r="J8" s="25">
        <f>'Котельные факт + нов'!N32</f>
        <v>68.33</v>
      </c>
      <c r="K8" s="25">
        <f>'Котельные факт + нов'!O32</f>
        <v>68.33</v>
      </c>
      <c r="L8" s="25">
        <f>'Котельные факт + нов'!P32</f>
        <v>68.33</v>
      </c>
      <c r="M8" s="25">
        <f>'Котельные факт + нов'!Q32</f>
        <v>79.209999999999994</v>
      </c>
      <c r="N8" s="25">
        <f>'Котельные факт + нов'!R32</f>
        <v>83</v>
      </c>
      <c r="O8" s="25">
        <f>'Котельные факт + нов'!S32</f>
        <v>83</v>
      </c>
      <c r="P8" s="25">
        <f>'Котельные факт + нов'!T32</f>
        <v>83</v>
      </c>
      <c r="Q8" s="25">
        <f>'Котельные факт + нов'!U32</f>
        <v>83</v>
      </c>
    </row>
    <row r="9" spans="1:18" ht="16.5" customHeight="1" x14ac:dyDescent="0.2">
      <c r="A9" s="23" t="s">
        <v>17</v>
      </c>
      <c r="B9" s="6" t="s">
        <v>13</v>
      </c>
      <c r="C9" s="29">
        <f t="shared" ref="C9:Q9" si="1">C5/(C8/100)</f>
        <v>26396.508707741843</v>
      </c>
      <c r="D9" s="29">
        <f t="shared" si="1"/>
        <v>26396.508707741843</v>
      </c>
      <c r="E9" s="29">
        <f t="shared" si="1"/>
        <v>26396.508707741843</v>
      </c>
      <c r="F9" s="29">
        <f t="shared" si="1"/>
        <v>26396.508707741843</v>
      </c>
      <c r="G9" s="29">
        <f t="shared" si="1"/>
        <v>26396.508707741843</v>
      </c>
      <c r="H9" s="29">
        <f t="shared" si="1"/>
        <v>26396.508707741843</v>
      </c>
      <c r="I9" s="29">
        <f t="shared" si="1"/>
        <v>26396.508707741843</v>
      </c>
      <c r="J9" s="29">
        <f t="shared" si="1"/>
        <v>26396.508707741843</v>
      </c>
      <c r="K9" s="29">
        <f t="shared" si="1"/>
        <v>26396.508707741843</v>
      </c>
      <c r="L9" s="29">
        <f t="shared" si="1"/>
        <v>26396.508707741843</v>
      </c>
      <c r="M9" s="29">
        <f t="shared" si="1"/>
        <v>22770.77944703952</v>
      </c>
      <c r="N9" s="29">
        <f t="shared" si="1"/>
        <v>21731.005301204823</v>
      </c>
      <c r="O9" s="29">
        <f t="shared" si="1"/>
        <v>21731.005301204823</v>
      </c>
      <c r="P9" s="29">
        <f t="shared" si="1"/>
        <v>21731.005301204823</v>
      </c>
      <c r="Q9" s="29">
        <f t="shared" si="1"/>
        <v>21731.005301204823</v>
      </c>
    </row>
    <row r="10" spans="1:18" ht="16.5" customHeight="1" x14ac:dyDescent="0.2">
      <c r="A10" s="23" t="s">
        <v>40</v>
      </c>
      <c r="B10" s="6" t="s">
        <v>41</v>
      </c>
      <c r="C10" s="70">
        <f t="shared" ref="C10:Q10" si="2">94.6/1000</f>
        <v>9.459999999999999E-2</v>
      </c>
      <c r="D10" s="70">
        <f t="shared" si="2"/>
        <v>9.459999999999999E-2</v>
      </c>
      <c r="E10" s="70">
        <f t="shared" si="2"/>
        <v>9.459999999999999E-2</v>
      </c>
      <c r="F10" s="70">
        <f t="shared" si="2"/>
        <v>9.459999999999999E-2</v>
      </c>
      <c r="G10" s="70">
        <f t="shared" si="2"/>
        <v>9.459999999999999E-2</v>
      </c>
      <c r="H10" s="70">
        <f t="shared" si="2"/>
        <v>9.459999999999999E-2</v>
      </c>
      <c r="I10" s="70">
        <f t="shared" si="2"/>
        <v>9.459999999999999E-2</v>
      </c>
      <c r="J10" s="70">
        <f t="shared" si="2"/>
        <v>9.459999999999999E-2</v>
      </c>
      <c r="K10" s="70">
        <f t="shared" si="2"/>
        <v>9.459999999999999E-2</v>
      </c>
      <c r="L10" s="70">
        <f t="shared" si="2"/>
        <v>9.459999999999999E-2</v>
      </c>
      <c r="M10" s="70">
        <f t="shared" si="2"/>
        <v>9.459999999999999E-2</v>
      </c>
      <c r="N10" s="70">
        <f t="shared" si="2"/>
        <v>9.459999999999999E-2</v>
      </c>
      <c r="O10" s="70">
        <f t="shared" si="2"/>
        <v>9.459999999999999E-2</v>
      </c>
      <c r="P10" s="70">
        <f t="shared" si="2"/>
        <v>9.459999999999999E-2</v>
      </c>
      <c r="Q10" s="70">
        <f t="shared" si="2"/>
        <v>9.459999999999999E-2</v>
      </c>
      <c r="R10" t="s">
        <v>23</v>
      </c>
    </row>
    <row r="11" spans="1:18" ht="15.75" customHeight="1" x14ac:dyDescent="0.2">
      <c r="A11" s="30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8" ht="16.5" customHeight="1" x14ac:dyDescent="0.2">
      <c r="A12" s="71" t="s">
        <v>83</v>
      </c>
      <c r="B12" s="64" t="s">
        <v>4</v>
      </c>
      <c r="C12" s="72">
        <f t="shared" ref="C12:Q12" si="3">ROUND(C10*C9,0)</f>
        <v>2497</v>
      </c>
      <c r="D12" s="72">
        <f t="shared" si="3"/>
        <v>2497</v>
      </c>
      <c r="E12" s="72">
        <f t="shared" si="3"/>
        <v>2497</v>
      </c>
      <c r="F12" s="72">
        <f t="shared" si="3"/>
        <v>2497</v>
      </c>
      <c r="G12" s="72">
        <f t="shared" si="3"/>
        <v>2497</v>
      </c>
      <c r="H12" s="72">
        <f t="shared" si="3"/>
        <v>2497</v>
      </c>
      <c r="I12" s="72">
        <f t="shared" si="3"/>
        <v>2497</v>
      </c>
      <c r="J12" s="72">
        <f t="shared" si="3"/>
        <v>2497</v>
      </c>
      <c r="K12" s="72">
        <f t="shared" si="3"/>
        <v>2497</v>
      </c>
      <c r="L12" s="72">
        <f t="shared" si="3"/>
        <v>2497</v>
      </c>
      <c r="M12" s="72">
        <f t="shared" si="3"/>
        <v>2154</v>
      </c>
      <c r="N12" s="72">
        <f t="shared" si="3"/>
        <v>2056</v>
      </c>
      <c r="O12" s="72">
        <f t="shared" si="3"/>
        <v>2056</v>
      </c>
      <c r="P12" s="72">
        <f t="shared" si="3"/>
        <v>2056</v>
      </c>
      <c r="Q12" s="72">
        <f t="shared" si="3"/>
        <v>2056</v>
      </c>
    </row>
    <row r="13" spans="1:18" ht="15.75" customHeight="1" x14ac:dyDescent="0.2">
      <c r="A13" s="23"/>
      <c r="B13" s="6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8" ht="15.75" customHeight="1" x14ac:dyDescent="0.2">
      <c r="A14" s="21" t="s">
        <v>38</v>
      </c>
      <c r="B14" s="22" t="s">
        <v>3</v>
      </c>
      <c r="C14" s="22">
        <v>2027</v>
      </c>
      <c r="D14" s="22">
        <v>2028</v>
      </c>
      <c r="E14" s="22">
        <v>2029</v>
      </c>
      <c r="F14" s="22">
        <v>2030</v>
      </c>
      <c r="G14" s="22">
        <v>2031</v>
      </c>
      <c r="H14" s="22">
        <v>2032</v>
      </c>
      <c r="I14" s="22">
        <v>2033</v>
      </c>
      <c r="J14" s="22">
        <v>2034</v>
      </c>
      <c r="K14" s="22">
        <v>2035</v>
      </c>
      <c r="L14" s="22">
        <v>2036</v>
      </c>
      <c r="M14" s="22">
        <v>2037</v>
      </c>
      <c r="N14" s="22">
        <v>2038</v>
      </c>
      <c r="O14" s="22">
        <v>2039</v>
      </c>
      <c r="P14" s="22">
        <v>2040</v>
      </c>
      <c r="Q14" s="22">
        <v>2041</v>
      </c>
    </row>
    <row r="15" spans="1:18" ht="16.5" customHeight="1" x14ac:dyDescent="0.2">
      <c r="A15" s="23"/>
      <c r="B15" s="6" t="s">
        <v>10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8" ht="16.5" customHeight="1" x14ac:dyDescent="0.2">
      <c r="A16" s="23" t="s">
        <v>11</v>
      </c>
      <c r="B16" s="6" t="s">
        <v>12</v>
      </c>
      <c r="C16" s="25">
        <f>'Исходные данные'!$R$4</f>
        <v>620</v>
      </c>
      <c r="D16" s="25">
        <f>'Исходные данные'!$R$4</f>
        <v>620</v>
      </c>
      <c r="E16" s="25">
        <f>'Исходные данные'!$R$4</f>
        <v>620</v>
      </c>
      <c r="F16" s="25">
        <f>'Исходные данные'!$R$4</f>
        <v>620</v>
      </c>
      <c r="G16" s="25">
        <f>'Исходные данные'!$R$4</f>
        <v>620</v>
      </c>
      <c r="H16" s="25">
        <f>'Исходные данные'!$R$4</f>
        <v>620</v>
      </c>
      <c r="I16" s="25">
        <f>'Исходные данные'!$R$4</f>
        <v>620</v>
      </c>
      <c r="J16" s="25">
        <f>'Исходные данные'!$R$4</f>
        <v>620</v>
      </c>
      <c r="K16" s="25">
        <f>'Исходные данные'!$R$4</f>
        <v>620</v>
      </c>
      <c r="L16" s="25">
        <f>'Исходные данные'!$R$4</f>
        <v>620</v>
      </c>
      <c r="M16" s="25">
        <f>'Исходные данные'!$R$4</f>
        <v>620</v>
      </c>
      <c r="N16" s="25">
        <f>'Исходные данные'!$R$4</f>
        <v>620</v>
      </c>
      <c r="O16" s="25">
        <f>'Исходные данные'!$R$4</f>
        <v>620</v>
      </c>
      <c r="P16" s="25">
        <f>'Исходные данные'!$R$4</f>
        <v>620</v>
      </c>
      <c r="Q16" s="25">
        <f>'Исходные данные'!$R$4</f>
        <v>620</v>
      </c>
    </row>
    <row r="17" spans="1:18" ht="16.5" customHeight="1" x14ac:dyDescent="0.2">
      <c r="A17" s="23" t="s">
        <v>11</v>
      </c>
      <c r="B17" s="6" t="s">
        <v>13</v>
      </c>
      <c r="C17" s="25">
        <f t="shared" ref="C17:Q17" si="4">C16*4.1868</f>
        <v>2595.8159999999998</v>
      </c>
      <c r="D17" s="25">
        <f t="shared" si="4"/>
        <v>2595.8159999999998</v>
      </c>
      <c r="E17" s="25">
        <f t="shared" si="4"/>
        <v>2595.8159999999998</v>
      </c>
      <c r="F17" s="25">
        <f t="shared" si="4"/>
        <v>2595.8159999999998</v>
      </c>
      <c r="G17" s="25">
        <f t="shared" si="4"/>
        <v>2595.8159999999998</v>
      </c>
      <c r="H17" s="25">
        <f t="shared" si="4"/>
        <v>2595.8159999999998</v>
      </c>
      <c r="I17" s="25">
        <f t="shared" si="4"/>
        <v>2595.8159999999998</v>
      </c>
      <c r="J17" s="25">
        <f t="shared" si="4"/>
        <v>2595.8159999999998</v>
      </c>
      <c r="K17" s="25">
        <f t="shared" si="4"/>
        <v>2595.8159999999998</v>
      </c>
      <c r="L17" s="25">
        <f t="shared" si="4"/>
        <v>2595.8159999999998</v>
      </c>
      <c r="M17" s="25">
        <f t="shared" si="4"/>
        <v>2595.8159999999998</v>
      </c>
      <c r="N17" s="25">
        <f t="shared" si="4"/>
        <v>2595.8159999999998</v>
      </c>
      <c r="O17" s="25">
        <f t="shared" si="4"/>
        <v>2595.8159999999998</v>
      </c>
      <c r="P17" s="25">
        <f t="shared" si="4"/>
        <v>2595.8159999999998</v>
      </c>
      <c r="Q17" s="25">
        <f t="shared" si="4"/>
        <v>2595.8159999999998</v>
      </c>
    </row>
    <row r="18" spans="1:18" ht="15.75" customHeight="1" x14ac:dyDescent="0.2">
      <c r="A18" s="23"/>
      <c r="B18" s="6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8" ht="16.5" customHeight="1" x14ac:dyDescent="0.2">
      <c r="A19" s="69" t="s">
        <v>14</v>
      </c>
      <c r="B19" s="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8" ht="51" customHeight="1" x14ac:dyDescent="0.2">
      <c r="A20" s="23" t="s">
        <v>15</v>
      </c>
      <c r="B20" s="6" t="s">
        <v>16</v>
      </c>
      <c r="C20" s="25">
        <f>'Котельные факт + нов'!G33</f>
        <v>39.770000000000003</v>
      </c>
      <c r="D20" s="25">
        <f>'Котельные факт + нов'!H33</f>
        <v>39.770000000000003</v>
      </c>
      <c r="E20" s="25">
        <f>'Котельные факт + нов'!I33</f>
        <v>83</v>
      </c>
      <c r="F20" s="25">
        <f>'Котельные факт + нов'!J33</f>
        <v>83</v>
      </c>
      <c r="G20" s="25">
        <f>'Котельные факт + нов'!K33</f>
        <v>83</v>
      </c>
      <c r="H20" s="25">
        <f>'Котельные факт + нов'!L33</f>
        <v>83</v>
      </c>
      <c r="I20" s="25">
        <f>'Котельные факт + нов'!M33</f>
        <v>83</v>
      </c>
      <c r="J20" s="25">
        <f>'Котельные факт + нов'!N33</f>
        <v>83</v>
      </c>
      <c r="K20" s="25">
        <f>'Котельные факт + нов'!O33</f>
        <v>83</v>
      </c>
      <c r="L20" s="25">
        <f>'Котельные факт + нов'!P33</f>
        <v>83</v>
      </c>
      <c r="M20" s="25">
        <f>'Котельные факт + нов'!Q33</f>
        <v>83</v>
      </c>
      <c r="N20" s="25">
        <f>'Котельные факт + нов'!R33</f>
        <v>83</v>
      </c>
      <c r="O20" s="25">
        <f>'Котельные факт + нов'!S33</f>
        <v>83</v>
      </c>
      <c r="P20" s="25">
        <f>'Котельные факт + нов'!T33</f>
        <v>83</v>
      </c>
      <c r="Q20" s="25">
        <f>'Котельные факт + нов'!U33</f>
        <v>83</v>
      </c>
    </row>
    <row r="21" spans="1:18" ht="16.5" customHeight="1" x14ac:dyDescent="0.2">
      <c r="A21" s="23" t="s">
        <v>17</v>
      </c>
      <c r="B21" s="6" t="s">
        <v>13</v>
      </c>
      <c r="C21" s="25">
        <f t="shared" ref="C21:Q21" si="5">C17/(C20/100)</f>
        <v>6527.0706562735713</v>
      </c>
      <c r="D21" s="25">
        <f t="shared" si="5"/>
        <v>6527.0706562735713</v>
      </c>
      <c r="E21" s="25">
        <f t="shared" si="5"/>
        <v>3127.489156626506</v>
      </c>
      <c r="F21" s="25">
        <f t="shared" si="5"/>
        <v>3127.489156626506</v>
      </c>
      <c r="G21" s="25">
        <f t="shared" si="5"/>
        <v>3127.489156626506</v>
      </c>
      <c r="H21" s="25">
        <f t="shared" si="5"/>
        <v>3127.489156626506</v>
      </c>
      <c r="I21" s="25">
        <f t="shared" si="5"/>
        <v>3127.489156626506</v>
      </c>
      <c r="J21" s="25">
        <f t="shared" si="5"/>
        <v>3127.489156626506</v>
      </c>
      <c r="K21" s="25">
        <f t="shared" si="5"/>
        <v>3127.489156626506</v>
      </c>
      <c r="L21" s="25">
        <f t="shared" si="5"/>
        <v>3127.489156626506</v>
      </c>
      <c r="M21" s="25">
        <f t="shared" si="5"/>
        <v>3127.489156626506</v>
      </c>
      <c r="N21" s="25">
        <f t="shared" si="5"/>
        <v>3127.489156626506</v>
      </c>
      <c r="O21" s="25">
        <f t="shared" si="5"/>
        <v>3127.489156626506</v>
      </c>
      <c r="P21" s="25">
        <f t="shared" si="5"/>
        <v>3127.489156626506</v>
      </c>
      <c r="Q21" s="25">
        <f t="shared" si="5"/>
        <v>3127.489156626506</v>
      </c>
    </row>
    <row r="22" spans="1:18" ht="16.5" customHeight="1" x14ac:dyDescent="0.2">
      <c r="A22" s="23" t="s">
        <v>40</v>
      </c>
      <c r="B22" s="6" t="s">
        <v>41</v>
      </c>
      <c r="C22" s="29">
        <f t="shared" ref="C22:Q22" si="6">94.6/1000</f>
        <v>9.459999999999999E-2</v>
      </c>
      <c r="D22" s="29">
        <f t="shared" si="6"/>
        <v>9.459999999999999E-2</v>
      </c>
      <c r="E22" s="29">
        <f t="shared" si="6"/>
        <v>9.459999999999999E-2</v>
      </c>
      <c r="F22" s="29">
        <f t="shared" si="6"/>
        <v>9.459999999999999E-2</v>
      </c>
      <c r="G22" s="29">
        <f t="shared" si="6"/>
        <v>9.459999999999999E-2</v>
      </c>
      <c r="H22" s="29">
        <f t="shared" si="6"/>
        <v>9.459999999999999E-2</v>
      </c>
      <c r="I22" s="29">
        <f t="shared" si="6"/>
        <v>9.459999999999999E-2</v>
      </c>
      <c r="J22" s="29">
        <f t="shared" si="6"/>
        <v>9.459999999999999E-2</v>
      </c>
      <c r="K22" s="29">
        <f t="shared" si="6"/>
        <v>9.459999999999999E-2</v>
      </c>
      <c r="L22" s="29">
        <f t="shared" si="6"/>
        <v>9.459999999999999E-2</v>
      </c>
      <c r="M22" s="29">
        <f t="shared" si="6"/>
        <v>9.459999999999999E-2</v>
      </c>
      <c r="N22" s="29">
        <f t="shared" si="6"/>
        <v>9.459999999999999E-2</v>
      </c>
      <c r="O22" s="29">
        <f t="shared" si="6"/>
        <v>9.459999999999999E-2</v>
      </c>
      <c r="P22" s="29">
        <f t="shared" si="6"/>
        <v>9.459999999999999E-2</v>
      </c>
      <c r="Q22" s="29">
        <f t="shared" si="6"/>
        <v>9.459999999999999E-2</v>
      </c>
      <c r="R22" t="s">
        <v>23</v>
      </c>
    </row>
    <row r="23" spans="1:18" ht="15.75" customHeight="1" x14ac:dyDescent="0.2">
      <c r="A23" s="30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8" ht="16.5" customHeight="1" x14ac:dyDescent="0.2">
      <c r="A24" s="71" t="s">
        <v>83</v>
      </c>
      <c r="B24" s="64" t="s">
        <v>4</v>
      </c>
      <c r="C24" s="72">
        <f t="shared" ref="C24:Q24" si="7">ROUND(C22*C21,0)</f>
        <v>617</v>
      </c>
      <c r="D24" s="72">
        <f t="shared" si="7"/>
        <v>617</v>
      </c>
      <c r="E24" s="72">
        <f t="shared" si="7"/>
        <v>296</v>
      </c>
      <c r="F24" s="72">
        <f t="shared" si="7"/>
        <v>296</v>
      </c>
      <c r="G24" s="72">
        <f t="shared" si="7"/>
        <v>296</v>
      </c>
      <c r="H24" s="72">
        <f t="shared" si="7"/>
        <v>296</v>
      </c>
      <c r="I24" s="72">
        <f t="shared" si="7"/>
        <v>296</v>
      </c>
      <c r="J24" s="72">
        <f t="shared" si="7"/>
        <v>296</v>
      </c>
      <c r="K24" s="72">
        <f t="shared" si="7"/>
        <v>296</v>
      </c>
      <c r="L24" s="72">
        <f t="shared" si="7"/>
        <v>296</v>
      </c>
      <c r="M24" s="72">
        <f t="shared" si="7"/>
        <v>296</v>
      </c>
      <c r="N24" s="72">
        <f t="shared" si="7"/>
        <v>296</v>
      </c>
      <c r="O24" s="72">
        <f t="shared" si="7"/>
        <v>296</v>
      </c>
      <c r="P24" s="72">
        <f t="shared" si="7"/>
        <v>296</v>
      </c>
      <c r="Q24" s="72">
        <f t="shared" si="7"/>
        <v>296</v>
      </c>
    </row>
    <row r="25" spans="1:18" ht="15.75" customHeight="1" x14ac:dyDescent="0.2">
      <c r="A25" s="23"/>
      <c r="B25" s="6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8" ht="15.75" customHeight="1" x14ac:dyDescent="0.2">
      <c r="A26" s="21" t="s">
        <v>42</v>
      </c>
      <c r="B26" s="22" t="s">
        <v>3</v>
      </c>
      <c r="C26" s="22">
        <v>2027</v>
      </c>
      <c r="D26" s="22">
        <v>2028</v>
      </c>
      <c r="E26" s="22">
        <v>2029</v>
      </c>
      <c r="F26" s="22">
        <v>2030</v>
      </c>
      <c r="G26" s="22">
        <v>2031</v>
      </c>
      <c r="H26" s="22">
        <v>2032</v>
      </c>
      <c r="I26" s="22">
        <v>2033</v>
      </c>
      <c r="J26" s="22">
        <v>2034</v>
      </c>
      <c r="K26" s="22">
        <v>2035</v>
      </c>
      <c r="L26" s="22">
        <v>2036</v>
      </c>
      <c r="M26" s="22">
        <v>2037</v>
      </c>
      <c r="N26" s="22">
        <v>2038</v>
      </c>
      <c r="O26" s="22">
        <v>2039</v>
      </c>
      <c r="P26" s="22">
        <v>2040</v>
      </c>
      <c r="Q26" s="22">
        <v>2041</v>
      </c>
    </row>
    <row r="27" spans="1:18" ht="16.5" customHeight="1" x14ac:dyDescent="0.2">
      <c r="A27" s="23"/>
      <c r="B27" s="6" t="s">
        <v>10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8" ht="16.5" customHeight="1" x14ac:dyDescent="0.2">
      <c r="A28" s="23" t="s">
        <v>11</v>
      </c>
      <c r="B28" s="6" t="s">
        <v>12</v>
      </c>
      <c r="C28" s="25">
        <f>'Исходные данные'!$U$4</f>
        <v>2649</v>
      </c>
      <c r="D28" s="25">
        <f>'Исходные данные'!$U$4</f>
        <v>2649</v>
      </c>
      <c r="E28" s="25">
        <f>'Исходные данные'!$U$4</f>
        <v>2649</v>
      </c>
      <c r="F28" s="25">
        <f>'Исходные данные'!$U$4</f>
        <v>2649</v>
      </c>
      <c r="G28" s="25">
        <f>'Исходные данные'!$U$4</f>
        <v>2649</v>
      </c>
      <c r="H28" s="25">
        <f>'Исходные данные'!$U$4</f>
        <v>2649</v>
      </c>
      <c r="I28" s="25">
        <f>'Исходные данные'!$U$4</f>
        <v>2649</v>
      </c>
      <c r="J28" s="25">
        <f>'Исходные данные'!$U$4</f>
        <v>2649</v>
      </c>
      <c r="K28" s="25">
        <f>'Исходные данные'!$U$4</f>
        <v>2649</v>
      </c>
      <c r="L28" s="25">
        <f>'Исходные данные'!$U$4</f>
        <v>2649</v>
      </c>
      <c r="M28" s="25">
        <f>'Исходные данные'!$U$4</f>
        <v>2649</v>
      </c>
      <c r="N28" s="25">
        <f>'Исходные данные'!$U$4</f>
        <v>2649</v>
      </c>
      <c r="O28" s="25">
        <f>'Исходные данные'!$U$4</f>
        <v>2649</v>
      </c>
      <c r="P28" s="25">
        <f>'Исходные данные'!$U$4</f>
        <v>2649</v>
      </c>
      <c r="Q28" s="25">
        <f>'Исходные данные'!$U$4</f>
        <v>2649</v>
      </c>
    </row>
    <row r="29" spans="1:18" ht="16.5" customHeight="1" x14ac:dyDescent="0.2">
      <c r="A29" s="23" t="s">
        <v>11</v>
      </c>
      <c r="B29" s="6" t="s">
        <v>13</v>
      </c>
      <c r="C29" s="25">
        <f t="shared" ref="C29:Q29" si="8">C28*4.1868</f>
        <v>11090.833199999999</v>
      </c>
      <c r="D29" s="25">
        <f t="shared" si="8"/>
        <v>11090.833199999999</v>
      </c>
      <c r="E29" s="25">
        <f t="shared" si="8"/>
        <v>11090.833199999999</v>
      </c>
      <c r="F29" s="25">
        <f t="shared" si="8"/>
        <v>11090.833199999999</v>
      </c>
      <c r="G29" s="25">
        <f t="shared" si="8"/>
        <v>11090.833199999999</v>
      </c>
      <c r="H29" s="25">
        <f t="shared" si="8"/>
        <v>11090.833199999999</v>
      </c>
      <c r="I29" s="25">
        <f t="shared" si="8"/>
        <v>11090.833199999999</v>
      </c>
      <c r="J29" s="25">
        <f t="shared" si="8"/>
        <v>11090.833199999999</v>
      </c>
      <c r="K29" s="25">
        <f t="shared" si="8"/>
        <v>11090.833199999999</v>
      </c>
      <c r="L29" s="25">
        <f t="shared" si="8"/>
        <v>11090.833199999999</v>
      </c>
      <c r="M29" s="25">
        <f t="shared" si="8"/>
        <v>11090.833199999999</v>
      </c>
      <c r="N29" s="25">
        <f t="shared" si="8"/>
        <v>11090.833199999999</v>
      </c>
      <c r="O29" s="25">
        <f t="shared" si="8"/>
        <v>11090.833199999999</v>
      </c>
      <c r="P29" s="25">
        <f t="shared" si="8"/>
        <v>11090.833199999999</v>
      </c>
      <c r="Q29" s="25">
        <f t="shared" si="8"/>
        <v>11090.833199999999</v>
      </c>
    </row>
    <row r="30" spans="1:18" ht="15.75" customHeight="1" x14ac:dyDescent="0.2">
      <c r="A30" s="23"/>
      <c r="B30" s="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8" ht="16.5" customHeight="1" x14ac:dyDescent="0.2">
      <c r="A31" s="69" t="s">
        <v>14</v>
      </c>
      <c r="B31" s="6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8" ht="51" customHeight="1" x14ac:dyDescent="0.2">
      <c r="A32" s="23" t="s">
        <v>15</v>
      </c>
      <c r="B32" s="6" t="s">
        <v>16</v>
      </c>
      <c r="C32" s="25">
        <f>'Котельные факт + нов'!G34</f>
        <v>67.010000000000005</v>
      </c>
      <c r="D32" s="25">
        <f>'Котельные факт + нов'!H34</f>
        <v>67.010000000000005</v>
      </c>
      <c r="E32" s="25">
        <f>'Котельные факт + нов'!I34</f>
        <v>67.010000000000005</v>
      </c>
      <c r="F32" s="25">
        <f>'Котельные факт + нов'!J34</f>
        <v>77.66</v>
      </c>
      <c r="G32" s="25">
        <f>'Котельные факт + нов'!K34</f>
        <v>77.66</v>
      </c>
      <c r="H32" s="25">
        <f>'Котельные факт + нов'!L34</f>
        <v>77.66</v>
      </c>
      <c r="I32" s="25">
        <f>'Котельные факт + нов'!M34</f>
        <v>77.66</v>
      </c>
      <c r="J32" s="25">
        <f>'Котельные факт + нов'!N34</f>
        <v>77.66</v>
      </c>
      <c r="K32" s="25">
        <f>'Котельные факт + нов'!O34</f>
        <v>77.66</v>
      </c>
      <c r="L32" s="25">
        <f>'Котельные факт + нов'!P34</f>
        <v>77.66</v>
      </c>
      <c r="M32" s="25">
        <f>'Котельные факт + нов'!Q34</f>
        <v>77.66</v>
      </c>
      <c r="N32" s="25">
        <f>'Котельные факт + нов'!R34</f>
        <v>86</v>
      </c>
      <c r="O32" s="25">
        <f>'Котельные факт + нов'!S34</f>
        <v>86</v>
      </c>
      <c r="P32" s="25">
        <f>'Котельные факт + нов'!T34</f>
        <v>86</v>
      </c>
      <c r="Q32" s="25">
        <f>'Котельные факт + нов'!U34</f>
        <v>86</v>
      </c>
    </row>
    <row r="33" spans="1:18" ht="16.5" customHeight="1" x14ac:dyDescent="0.2">
      <c r="A33" s="23" t="s">
        <v>43</v>
      </c>
      <c r="B33" s="6" t="s">
        <v>13</v>
      </c>
      <c r="C33" s="25">
        <f t="shared" ref="C33:Q33" si="9">C29/(C32/100)</f>
        <v>16551.012087748095</v>
      </c>
      <c r="D33" s="25">
        <f t="shared" si="9"/>
        <v>16551.012087748095</v>
      </c>
      <c r="E33" s="25">
        <f t="shared" si="9"/>
        <v>16551.012087748095</v>
      </c>
      <c r="F33" s="25">
        <f t="shared" si="9"/>
        <v>14281.268606747361</v>
      </c>
      <c r="G33" s="25">
        <f t="shared" si="9"/>
        <v>14281.268606747361</v>
      </c>
      <c r="H33" s="25">
        <f t="shared" si="9"/>
        <v>14281.268606747361</v>
      </c>
      <c r="I33" s="25">
        <f t="shared" si="9"/>
        <v>14281.268606747361</v>
      </c>
      <c r="J33" s="25">
        <f t="shared" si="9"/>
        <v>14281.268606747361</v>
      </c>
      <c r="K33" s="25">
        <f t="shared" si="9"/>
        <v>14281.268606747361</v>
      </c>
      <c r="L33" s="25">
        <f t="shared" si="9"/>
        <v>14281.268606747361</v>
      </c>
      <c r="M33" s="25">
        <f t="shared" si="9"/>
        <v>14281.268606747361</v>
      </c>
      <c r="N33" s="25">
        <f t="shared" si="9"/>
        <v>12896.317674418604</v>
      </c>
      <c r="O33" s="25">
        <f t="shared" si="9"/>
        <v>12896.317674418604</v>
      </c>
      <c r="P33" s="25">
        <f t="shared" si="9"/>
        <v>12896.317674418604</v>
      </c>
      <c r="Q33" s="25">
        <f t="shared" si="9"/>
        <v>12896.317674418604</v>
      </c>
    </row>
    <row r="34" spans="1:18" ht="16.5" customHeight="1" x14ac:dyDescent="0.2">
      <c r="A34" s="23" t="s">
        <v>84</v>
      </c>
      <c r="B34" s="6" t="s">
        <v>85</v>
      </c>
      <c r="C34" s="29">
        <f t="shared" ref="C34:Q34" si="10">77.4/1000</f>
        <v>7.740000000000001E-2</v>
      </c>
      <c r="D34" s="29">
        <f t="shared" si="10"/>
        <v>7.740000000000001E-2</v>
      </c>
      <c r="E34" s="29">
        <f t="shared" si="10"/>
        <v>7.740000000000001E-2</v>
      </c>
      <c r="F34" s="29">
        <f t="shared" si="10"/>
        <v>7.740000000000001E-2</v>
      </c>
      <c r="G34" s="29">
        <f t="shared" si="10"/>
        <v>7.740000000000001E-2</v>
      </c>
      <c r="H34" s="29">
        <f t="shared" si="10"/>
        <v>7.740000000000001E-2</v>
      </c>
      <c r="I34" s="29">
        <f t="shared" si="10"/>
        <v>7.740000000000001E-2</v>
      </c>
      <c r="J34" s="29">
        <f t="shared" si="10"/>
        <v>7.740000000000001E-2</v>
      </c>
      <c r="K34" s="29">
        <f t="shared" si="10"/>
        <v>7.740000000000001E-2</v>
      </c>
      <c r="L34" s="29">
        <f t="shared" si="10"/>
        <v>7.740000000000001E-2</v>
      </c>
      <c r="M34" s="29">
        <f t="shared" si="10"/>
        <v>7.740000000000001E-2</v>
      </c>
      <c r="N34" s="29">
        <f t="shared" si="10"/>
        <v>7.740000000000001E-2</v>
      </c>
      <c r="O34" s="29">
        <f t="shared" si="10"/>
        <v>7.740000000000001E-2</v>
      </c>
      <c r="P34" s="29">
        <f t="shared" si="10"/>
        <v>7.740000000000001E-2</v>
      </c>
      <c r="Q34" s="29">
        <f t="shared" si="10"/>
        <v>7.740000000000001E-2</v>
      </c>
      <c r="R34" t="s">
        <v>23</v>
      </c>
    </row>
    <row r="35" spans="1:18" ht="15.75" customHeight="1" x14ac:dyDescent="0.2">
      <c r="A35" s="23"/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8" ht="16.5" customHeight="1" x14ac:dyDescent="0.2">
      <c r="A36" s="71" t="s">
        <v>83</v>
      </c>
      <c r="B36" s="64" t="s">
        <v>4</v>
      </c>
      <c r="C36" s="72">
        <f t="shared" ref="C36:Q36" si="11">ROUND(C34*C33,0)</f>
        <v>1281</v>
      </c>
      <c r="D36" s="72">
        <f t="shared" si="11"/>
        <v>1281</v>
      </c>
      <c r="E36" s="72">
        <f t="shared" si="11"/>
        <v>1281</v>
      </c>
      <c r="F36" s="72">
        <f t="shared" si="11"/>
        <v>1105</v>
      </c>
      <c r="G36" s="72">
        <f t="shared" si="11"/>
        <v>1105</v>
      </c>
      <c r="H36" s="72">
        <f t="shared" si="11"/>
        <v>1105</v>
      </c>
      <c r="I36" s="72">
        <f t="shared" si="11"/>
        <v>1105</v>
      </c>
      <c r="J36" s="72">
        <f t="shared" si="11"/>
        <v>1105</v>
      </c>
      <c r="K36" s="72">
        <f t="shared" si="11"/>
        <v>1105</v>
      </c>
      <c r="L36" s="72">
        <f t="shared" si="11"/>
        <v>1105</v>
      </c>
      <c r="M36" s="72">
        <f t="shared" si="11"/>
        <v>1105</v>
      </c>
      <c r="N36" s="72">
        <f t="shared" si="11"/>
        <v>998</v>
      </c>
      <c r="O36" s="72">
        <f t="shared" si="11"/>
        <v>998</v>
      </c>
      <c r="P36" s="72">
        <f t="shared" si="11"/>
        <v>998</v>
      </c>
      <c r="Q36" s="72">
        <f t="shared" si="11"/>
        <v>998</v>
      </c>
    </row>
    <row r="37" spans="1:18" ht="15.75" customHeight="1" x14ac:dyDescent="0.2">
      <c r="A37" s="23"/>
      <c r="B37" s="6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8" ht="15.75" customHeight="1" x14ac:dyDescent="0.2">
      <c r="A38" s="21" t="s">
        <v>46</v>
      </c>
      <c r="B38" s="22" t="s">
        <v>3</v>
      </c>
      <c r="C38" s="22">
        <v>2027</v>
      </c>
      <c r="D38" s="22">
        <v>2028</v>
      </c>
      <c r="E38" s="22">
        <v>2029</v>
      </c>
      <c r="F38" s="22">
        <v>2030</v>
      </c>
      <c r="G38" s="22">
        <v>2031</v>
      </c>
      <c r="H38" s="22">
        <v>2032</v>
      </c>
      <c r="I38" s="22">
        <v>2033</v>
      </c>
      <c r="J38" s="22">
        <v>2034</v>
      </c>
      <c r="K38" s="22">
        <v>2035</v>
      </c>
      <c r="L38" s="22">
        <v>2036</v>
      </c>
      <c r="M38" s="22">
        <v>2037</v>
      </c>
      <c r="N38" s="22">
        <v>2038</v>
      </c>
      <c r="O38" s="22">
        <v>2039</v>
      </c>
      <c r="P38" s="22">
        <v>2040</v>
      </c>
      <c r="Q38" s="22">
        <v>2041</v>
      </c>
    </row>
    <row r="39" spans="1:18" ht="16.5" customHeight="1" x14ac:dyDescent="0.2">
      <c r="A39" s="23"/>
      <c r="B39" s="6" t="s">
        <v>10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1:18" ht="16.5" customHeight="1" x14ac:dyDescent="0.2">
      <c r="A40" s="23" t="s">
        <v>11</v>
      </c>
      <c r="B40" s="6" t="s">
        <v>12</v>
      </c>
      <c r="C40" s="25">
        <f>'Исходные данные'!$X$4</f>
        <v>710</v>
      </c>
      <c r="D40" s="25">
        <f>'Исходные данные'!$X$4</f>
        <v>710</v>
      </c>
      <c r="E40" s="25">
        <f>'Исходные данные'!$X$4</f>
        <v>710</v>
      </c>
      <c r="F40" s="25">
        <f>'Исходные данные'!$X$4</f>
        <v>710</v>
      </c>
      <c r="G40" s="25">
        <f>'Исходные данные'!$X$4</f>
        <v>710</v>
      </c>
      <c r="H40" s="25">
        <f>'Исходные данные'!$X$4</f>
        <v>710</v>
      </c>
      <c r="I40" s="25">
        <f>'Исходные данные'!$X$4</f>
        <v>710</v>
      </c>
      <c r="J40" s="25">
        <f>'Исходные данные'!$X$4</f>
        <v>710</v>
      </c>
      <c r="K40" s="25">
        <f>'Исходные данные'!$X$4</f>
        <v>710</v>
      </c>
      <c r="L40" s="25">
        <f>'Исходные данные'!$X$4</f>
        <v>710</v>
      </c>
      <c r="M40" s="25">
        <f>'Исходные данные'!$X$4</f>
        <v>710</v>
      </c>
      <c r="N40" s="25">
        <f>'Исходные данные'!$X$4</f>
        <v>710</v>
      </c>
      <c r="O40" s="25">
        <f>'Исходные данные'!$X$4</f>
        <v>710</v>
      </c>
      <c r="P40" s="25">
        <f>'Исходные данные'!$X$4</f>
        <v>710</v>
      </c>
      <c r="Q40" s="25">
        <f>'Исходные данные'!$X$4</f>
        <v>710</v>
      </c>
    </row>
    <row r="41" spans="1:18" ht="16.5" customHeight="1" x14ac:dyDescent="0.2">
      <c r="A41" s="23" t="s">
        <v>11</v>
      </c>
      <c r="B41" s="6" t="s">
        <v>13</v>
      </c>
      <c r="C41" s="25">
        <f t="shared" ref="C41:Q41" si="12">C40*4.1868</f>
        <v>2972.6279999999997</v>
      </c>
      <c r="D41" s="25">
        <f t="shared" si="12"/>
        <v>2972.6279999999997</v>
      </c>
      <c r="E41" s="25">
        <f t="shared" si="12"/>
        <v>2972.6279999999997</v>
      </c>
      <c r="F41" s="25">
        <f t="shared" si="12"/>
        <v>2972.6279999999997</v>
      </c>
      <c r="G41" s="25">
        <f t="shared" si="12"/>
        <v>2972.6279999999997</v>
      </c>
      <c r="H41" s="25">
        <f t="shared" si="12"/>
        <v>2972.6279999999997</v>
      </c>
      <c r="I41" s="25">
        <f t="shared" si="12"/>
        <v>2972.6279999999997</v>
      </c>
      <c r="J41" s="25">
        <f t="shared" si="12"/>
        <v>2972.6279999999997</v>
      </c>
      <c r="K41" s="25">
        <f t="shared" si="12"/>
        <v>2972.6279999999997</v>
      </c>
      <c r="L41" s="25">
        <f t="shared" si="12"/>
        <v>2972.6279999999997</v>
      </c>
      <c r="M41" s="25">
        <f t="shared" si="12"/>
        <v>2972.6279999999997</v>
      </c>
      <c r="N41" s="25">
        <f t="shared" si="12"/>
        <v>2972.6279999999997</v>
      </c>
      <c r="O41" s="25">
        <f t="shared" si="12"/>
        <v>2972.6279999999997</v>
      </c>
      <c r="P41" s="25">
        <f t="shared" si="12"/>
        <v>2972.6279999999997</v>
      </c>
      <c r="Q41" s="25">
        <f t="shared" si="12"/>
        <v>2972.6279999999997</v>
      </c>
    </row>
    <row r="42" spans="1:18" ht="15.75" customHeight="1" x14ac:dyDescent="0.2">
      <c r="A42" s="23"/>
      <c r="B42" s="6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8" ht="16.5" customHeight="1" x14ac:dyDescent="0.2">
      <c r="A43" s="69" t="s">
        <v>14</v>
      </c>
      <c r="B43" s="6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8" ht="51" customHeight="1" x14ac:dyDescent="0.2">
      <c r="A44" s="23" t="s">
        <v>15</v>
      </c>
      <c r="B44" s="6" t="s">
        <v>16</v>
      </c>
      <c r="C44" s="25">
        <f>'Котельные факт + нов'!G35</f>
        <v>50.1</v>
      </c>
      <c r="D44" s="25">
        <f>'Котельные факт + нов'!H35</f>
        <v>50.1</v>
      </c>
      <c r="E44" s="25">
        <f>'Котельные факт + нов'!I35</f>
        <v>50.1</v>
      </c>
      <c r="F44" s="25">
        <f>'Котельные факт + нов'!J35</f>
        <v>50.1</v>
      </c>
      <c r="G44" s="25">
        <f>'Котельные факт + нов'!K35</f>
        <v>50.1</v>
      </c>
      <c r="H44" s="25">
        <f>'Котельные факт + нов'!L35</f>
        <v>50.1</v>
      </c>
      <c r="I44" s="25">
        <f>'Котельные факт + нов'!M35</f>
        <v>50.1</v>
      </c>
      <c r="J44" s="25">
        <f>'Котельные факт + нов'!N35</f>
        <v>50.1</v>
      </c>
      <c r="K44" s="25">
        <f>'Котельные факт + нов'!O35</f>
        <v>50.1</v>
      </c>
      <c r="L44" s="25">
        <f>'Котельные факт + нов'!P35</f>
        <v>50.1</v>
      </c>
      <c r="M44" s="25">
        <f>'Котельные факт + нов'!Q35</f>
        <v>83</v>
      </c>
      <c r="N44" s="25">
        <f>'Котельные факт + нов'!R35</f>
        <v>83</v>
      </c>
      <c r="O44" s="25">
        <f>'Котельные факт + нов'!S35</f>
        <v>83</v>
      </c>
      <c r="P44" s="25">
        <f>'Котельные факт + нов'!T35</f>
        <v>83</v>
      </c>
      <c r="Q44" s="25">
        <f>'Котельные факт + нов'!U35</f>
        <v>83</v>
      </c>
    </row>
    <row r="45" spans="1:18" ht="16.5" customHeight="1" x14ac:dyDescent="0.2">
      <c r="A45" s="23" t="s">
        <v>17</v>
      </c>
      <c r="B45" s="6" t="s">
        <v>13</v>
      </c>
      <c r="C45" s="25">
        <f t="shared" ref="C45:Q45" si="13">C41/(C44/100)</f>
        <v>5933.3892215568858</v>
      </c>
      <c r="D45" s="25">
        <f t="shared" si="13"/>
        <v>5933.3892215568858</v>
      </c>
      <c r="E45" s="25">
        <f t="shared" si="13"/>
        <v>5933.3892215568858</v>
      </c>
      <c r="F45" s="25">
        <f t="shared" si="13"/>
        <v>5933.3892215568858</v>
      </c>
      <c r="G45" s="25">
        <f t="shared" si="13"/>
        <v>5933.3892215568858</v>
      </c>
      <c r="H45" s="25">
        <f t="shared" si="13"/>
        <v>5933.3892215568858</v>
      </c>
      <c r="I45" s="25">
        <f t="shared" si="13"/>
        <v>5933.3892215568858</v>
      </c>
      <c r="J45" s="25">
        <f t="shared" si="13"/>
        <v>5933.3892215568858</v>
      </c>
      <c r="K45" s="25">
        <f t="shared" si="13"/>
        <v>5933.3892215568858</v>
      </c>
      <c r="L45" s="25">
        <f t="shared" si="13"/>
        <v>5933.3892215568858</v>
      </c>
      <c r="M45" s="25">
        <f t="shared" si="13"/>
        <v>3581.479518072289</v>
      </c>
      <c r="N45" s="25">
        <f t="shared" si="13"/>
        <v>3581.479518072289</v>
      </c>
      <c r="O45" s="25">
        <f t="shared" si="13"/>
        <v>3581.479518072289</v>
      </c>
      <c r="P45" s="25">
        <f t="shared" si="13"/>
        <v>3581.479518072289</v>
      </c>
      <c r="Q45" s="25">
        <f t="shared" si="13"/>
        <v>3581.479518072289</v>
      </c>
    </row>
    <row r="46" spans="1:18" ht="16.5" customHeight="1" x14ac:dyDescent="0.2">
      <c r="A46" s="23" t="s">
        <v>40</v>
      </c>
      <c r="B46" s="6" t="s">
        <v>41</v>
      </c>
      <c r="C46" s="29">
        <f t="shared" ref="C46:Q46" si="14">94.6/1000</f>
        <v>9.459999999999999E-2</v>
      </c>
      <c r="D46" s="29">
        <f t="shared" si="14"/>
        <v>9.459999999999999E-2</v>
      </c>
      <c r="E46" s="29">
        <f t="shared" si="14"/>
        <v>9.459999999999999E-2</v>
      </c>
      <c r="F46" s="29">
        <f t="shared" si="14"/>
        <v>9.459999999999999E-2</v>
      </c>
      <c r="G46" s="29">
        <f t="shared" si="14"/>
        <v>9.459999999999999E-2</v>
      </c>
      <c r="H46" s="29">
        <f t="shared" si="14"/>
        <v>9.459999999999999E-2</v>
      </c>
      <c r="I46" s="29">
        <f t="shared" si="14"/>
        <v>9.459999999999999E-2</v>
      </c>
      <c r="J46" s="29">
        <f t="shared" si="14"/>
        <v>9.459999999999999E-2</v>
      </c>
      <c r="K46" s="29">
        <f t="shared" si="14"/>
        <v>9.459999999999999E-2</v>
      </c>
      <c r="L46" s="29">
        <f t="shared" si="14"/>
        <v>9.459999999999999E-2</v>
      </c>
      <c r="M46" s="29">
        <f t="shared" si="14"/>
        <v>9.459999999999999E-2</v>
      </c>
      <c r="N46" s="29">
        <f t="shared" si="14"/>
        <v>9.459999999999999E-2</v>
      </c>
      <c r="O46" s="29">
        <f t="shared" si="14"/>
        <v>9.459999999999999E-2</v>
      </c>
      <c r="P46" s="29">
        <f t="shared" si="14"/>
        <v>9.459999999999999E-2</v>
      </c>
      <c r="Q46" s="29">
        <f t="shared" si="14"/>
        <v>9.459999999999999E-2</v>
      </c>
      <c r="R46" t="s">
        <v>23</v>
      </c>
    </row>
    <row r="47" spans="1:18" ht="15.75" customHeight="1" x14ac:dyDescent="0.2">
      <c r="A47" s="30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8" ht="15.75" customHeight="1" x14ac:dyDescent="0.2">
      <c r="A48" s="23"/>
      <c r="B48" s="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ht="16.5" customHeight="1" x14ac:dyDescent="0.2">
      <c r="A49" s="71" t="s">
        <v>83</v>
      </c>
      <c r="B49" s="64" t="s">
        <v>4</v>
      </c>
      <c r="C49" s="72">
        <f t="shared" ref="C49:Q49" si="15">ROUND(C46*C45,0)</f>
        <v>561</v>
      </c>
      <c r="D49" s="72">
        <f t="shared" si="15"/>
        <v>561</v>
      </c>
      <c r="E49" s="72">
        <f t="shared" si="15"/>
        <v>561</v>
      </c>
      <c r="F49" s="72">
        <f t="shared" si="15"/>
        <v>561</v>
      </c>
      <c r="G49" s="72">
        <f t="shared" si="15"/>
        <v>561</v>
      </c>
      <c r="H49" s="72">
        <f t="shared" si="15"/>
        <v>561</v>
      </c>
      <c r="I49" s="72">
        <f t="shared" si="15"/>
        <v>561</v>
      </c>
      <c r="J49" s="72">
        <f t="shared" si="15"/>
        <v>561</v>
      </c>
      <c r="K49" s="72">
        <f t="shared" si="15"/>
        <v>561</v>
      </c>
      <c r="L49" s="72">
        <f t="shared" si="15"/>
        <v>561</v>
      </c>
      <c r="M49" s="72">
        <f t="shared" si="15"/>
        <v>339</v>
      </c>
      <c r="N49" s="72">
        <f t="shared" si="15"/>
        <v>339</v>
      </c>
      <c r="O49" s="72">
        <f t="shared" si="15"/>
        <v>339</v>
      </c>
      <c r="P49" s="72">
        <f t="shared" si="15"/>
        <v>339</v>
      </c>
      <c r="Q49" s="72">
        <f t="shared" si="15"/>
        <v>339</v>
      </c>
    </row>
    <row r="50" spans="1:17" ht="15.75" customHeight="1" x14ac:dyDescent="0.2">
      <c r="A50" s="74"/>
      <c r="B50" s="7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2" spans="1:17" ht="16.5" customHeight="1" x14ac:dyDescent="0.2">
      <c r="A52" s="76" t="s">
        <v>86</v>
      </c>
      <c r="B52" s="77" t="s">
        <v>4</v>
      </c>
      <c r="C52" s="77">
        <f t="shared" ref="C52:Q52" si="16">SUM(C12,C24,C36,C49)</f>
        <v>4956</v>
      </c>
      <c r="D52" s="77">
        <f t="shared" si="16"/>
        <v>4956</v>
      </c>
      <c r="E52" s="77">
        <f t="shared" si="16"/>
        <v>4635</v>
      </c>
      <c r="F52" s="77">
        <f t="shared" si="16"/>
        <v>4459</v>
      </c>
      <c r="G52" s="77">
        <f t="shared" si="16"/>
        <v>4459</v>
      </c>
      <c r="H52" s="77">
        <f t="shared" si="16"/>
        <v>4459</v>
      </c>
      <c r="I52" s="77">
        <f t="shared" si="16"/>
        <v>4459</v>
      </c>
      <c r="J52" s="77">
        <f t="shared" si="16"/>
        <v>4459</v>
      </c>
      <c r="K52" s="77">
        <f t="shared" si="16"/>
        <v>4459</v>
      </c>
      <c r="L52" s="77">
        <f t="shared" si="16"/>
        <v>4459</v>
      </c>
      <c r="M52" s="77">
        <f t="shared" si="16"/>
        <v>3894</v>
      </c>
      <c r="N52" s="77">
        <f t="shared" si="16"/>
        <v>3689</v>
      </c>
      <c r="O52" s="77">
        <f t="shared" si="16"/>
        <v>3689</v>
      </c>
      <c r="P52" s="77">
        <f t="shared" si="16"/>
        <v>3689</v>
      </c>
      <c r="Q52" s="77">
        <f t="shared" si="16"/>
        <v>3689</v>
      </c>
    </row>
    <row r="55" spans="1:17" ht="15.75" customHeight="1" x14ac:dyDescent="0.2">
      <c r="C55" s="20">
        <v>1</v>
      </c>
      <c r="D55" s="20">
        <v>2</v>
      </c>
      <c r="E55" s="20">
        <v>3</v>
      </c>
      <c r="F55" s="20">
        <v>4</v>
      </c>
      <c r="G55" s="20">
        <v>5</v>
      </c>
      <c r="H55" s="20">
        <v>6</v>
      </c>
      <c r="I55" s="20">
        <v>7</v>
      </c>
      <c r="J55" s="20">
        <v>8</v>
      </c>
      <c r="K55" s="20">
        <v>9</v>
      </c>
      <c r="L55" s="20">
        <v>10</v>
      </c>
      <c r="M55" s="20">
        <v>11</v>
      </c>
      <c r="N55" s="20">
        <v>12</v>
      </c>
      <c r="O55" s="20">
        <v>13</v>
      </c>
      <c r="P55" s="20">
        <v>14</v>
      </c>
      <c r="Q55" s="20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79"/>
  <sheetViews>
    <sheetView topLeftCell="A30" zoomScale="90" zoomScaleNormal="90" workbookViewId="0">
      <selection activeCell="D70" sqref="D70"/>
    </sheetView>
  </sheetViews>
  <sheetFormatPr baseColWidth="10" defaultColWidth="10.6640625" defaultRowHeight="16" x14ac:dyDescent="0.2"/>
  <cols>
    <col min="1" max="1" width="48.6640625" style="19" customWidth="1"/>
    <col min="2" max="2" width="13.5" style="20" customWidth="1"/>
    <col min="3" max="3" width="19" style="20" customWidth="1"/>
    <col min="4" max="4" width="13.33203125" style="20" customWidth="1"/>
    <col min="5" max="17" width="12.5" style="20" customWidth="1"/>
    <col min="18" max="18" width="41.1640625" customWidth="1"/>
  </cols>
  <sheetData>
    <row r="2" spans="1:18" ht="15.75" customHeight="1" x14ac:dyDescent="0.2">
      <c r="A2" s="21" t="s">
        <v>8</v>
      </c>
      <c r="B2" s="22" t="s">
        <v>3</v>
      </c>
      <c r="C2" s="22">
        <v>2027</v>
      </c>
      <c r="D2" s="22">
        <v>2028</v>
      </c>
      <c r="E2" s="22">
        <v>2029</v>
      </c>
      <c r="F2" s="22">
        <v>2030</v>
      </c>
      <c r="G2" s="22">
        <v>2031</v>
      </c>
      <c r="H2" s="22">
        <v>2032</v>
      </c>
      <c r="I2" s="22">
        <v>2033</v>
      </c>
      <c r="J2" s="22">
        <v>2034</v>
      </c>
      <c r="K2" s="22">
        <v>2035</v>
      </c>
      <c r="L2" s="22">
        <v>2036</v>
      </c>
      <c r="M2" s="22">
        <v>2037</v>
      </c>
      <c r="N2" s="22">
        <v>2038</v>
      </c>
      <c r="O2" s="22">
        <v>2039</v>
      </c>
      <c r="P2" s="22">
        <v>2040</v>
      </c>
      <c r="Q2" s="22">
        <v>2041</v>
      </c>
      <c r="R2" t="s">
        <v>9</v>
      </c>
    </row>
    <row r="3" spans="1:18" ht="16.5" customHeight="1" x14ac:dyDescent="0.2">
      <c r="A3" s="23"/>
      <c r="B3" s="6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16.5" customHeight="1" x14ac:dyDescent="0.2">
      <c r="A4" s="23" t="s">
        <v>11</v>
      </c>
      <c r="B4" s="6" t="s">
        <v>12</v>
      </c>
      <c r="C4" s="25">
        <f>'Исходные данные'!$O$4</f>
        <v>4308</v>
      </c>
      <c r="D4" s="25">
        <f>'Исходные данные'!$O$4</f>
        <v>4308</v>
      </c>
      <c r="E4" s="25">
        <f>'Исходные данные'!$O$4</f>
        <v>4308</v>
      </c>
      <c r="F4" s="25">
        <f>'Исходные данные'!$O$4</f>
        <v>4308</v>
      </c>
      <c r="G4" s="25">
        <f>'Исходные данные'!$O$4</f>
        <v>4308</v>
      </c>
      <c r="H4" s="25">
        <f>'Исходные данные'!$O$4</f>
        <v>4308</v>
      </c>
      <c r="I4" s="25">
        <f>'Исходные данные'!$O$4</f>
        <v>4308</v>
      </c>
      <c r="J4" s="25">
        <f>'Исходные данные'!$O$4</f>
        <v>4308</v>
      </c>
      <c r="K4" s="25">
        <f>'Исходные данные'!$O$4</f>
        <v>4308</v>
      </c>
      <c r="L4" s="25">
        <f>'Исходные данные'!$O$4</f>
        <v>4308</v>
      </c>
      <c r="M4" s="25">
        <f>'Исходные данные'!$O$4</f>
        <v>4308</v>
      </c>
      <c r="N4" s="25">
        <f>'Исходные данные'!$O$4</f>
        <v>4308</v>
      </c>
      <c r="O4" s="25">
        <f>'Исходные данные'!$O$4</f>
        <v>4308</v>
      </c>
      <c r="P4" s="25">
        <f>'Исходные данные'!$O$4</f>
        <v>4308</v>
      </c>
      <c r="Q4" s="25">
        <f>'Исходные данные'!$O$4</f>
        <v>4308</v>
      </c>
    </row>
    <row r="5" spans="1:18" ht="16.5" customHeight="1" x14ac:dyDescent="0.2">
      <c r="A5" s="23" t="s">
        <v>11</v>
      </c>
      <c r="B5" s="6" t="s">
        <v>13</v>
      </c>
      <c r="C5" s="25">
        <f t="shared" ref="C5:Q5" si="0">C4*4.1868</f>
        <v>18036.734400000001</v>
      </c>
      <c r="D5" s="25">
        <f t="shared" si="0"/>
        <v>18036.734400000001</v>
      </c>
      <c r="E5" s="25">
        <f t="shared" si="0"/>
        <v>18036.734400000001</v>
      </c>
      <c r="F5" s="25">
        <f t="shared" si="0"/>
        <v>18036.734400000001</v>
      </c>
      <c r="G5" s="25">
        <f t="shared" si="0"/>
        <v>18036.734400000001</v>
      </c>
      <c r="H5" s="25">
        <f t="shared" si="0"/>
        <v>18036.734400000001</v>
      </c>
      <c r="I5" s="25">
        <f t="shared" si="0"/>
        <v>18036.734400000001</v>
      </c>
      <c r="J5" s="25">
        <f t="shared" si="0"/>
        <v>18036.734400000001</v>
      </c>
      <c r="K5" s="25">
        <f t="shared" si="0"/>
        <v>18036.734400000001</v>
      </c>
      <c r="L5" s="25">
        <f t="shared" si="0"/>
        <v>18036.734400000001</v>
      </c>
      <c r="M5" s="25">
        <f t="shared" si="0"/>
        <v>18036.734400000001</v>
      </c>
      <c r="N5" s="25">
        <f t="shared" si="0"/>
        <v>18036.734400000001</v>
      </c>
      <c r="O5" s="25">
        <f t="shared" si="0"/>
        <v>18036.734400000001</v>
      </c>
      <c r="P5" s="25">
        <f t="shared" si="0"/>
        <v>18036.734400000001</v>
      </c>
      <c r="Q5" s="25">
        <f t="shared" si="0"/>
        <v>18036.734400000001</v>
      </c>
    </row>
    <row r="6" spans="1:18" ht="15.75" customHeight="1" x14ac:dyDescent="0.2">
      <c r="A6" s="23"/>
      <c r="B6" s="6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16.5" customHeight="1" x14ac:dyDescent="0.2">
      <c r="A7" s="69" t="s">
        <v>14</v>
      </c>
      <c r="B7" s="6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8" ht="51" customHeight="1" x14ac:dyDescent="0.2">
      <c r="A8" s="23" t="s">
        <v>15</v>
      </c>
      <c r="B8" s="6" t="s">
        <v>16</v>
      </c>
      <c r="C8" s="25">
        <f>'Котельные факт + нов'!G32</f>
        <v>68.33</v>
      </c>
      <c r="D8" s="25">
        <f>'Котельные факт + нов'!H32</f>
        <v>68.33</v>
      </c>
      <c r="E8" s="25">
        <f>'Котельные факт + нов'!I32</f>
        <v>68.33</v>
      </c>
      <c r="F8" s="25">
        <f>'Котельные факт + нов'!J32</f>
        <v>68.33</v>
      </c>
      <c r="G8" s="25">
        <f>'Котельные факт + нов'!K32</f>
        <v>68.33</v>
      </c>
      <c r="H8" s="25">
        <f>'Котельные факт + нов'!L32</f>
        <v>68.33</v>
      </c>
      <c r="I8" s="25">
        <f>'Котельные факт + нов'!M32</f>
        <v>68.33</v>
      </c>
      <c r="J8" s="25">
        <f>'Котельные факт + нов'!N32</f>
        <v>68.33</v>
      </c>
      <c r="K8" s="25">
        <f>'Котельные факт + нов'!O32</f>
        <v>68.33</v>
      </c>
      <c r="L8" s="25">
        <f>'Котельные факт + нов'!P32</f>
        <v>68.33</v>
      </c>
      <c r="M8" s="25">
        <f>'Котельные факт + нов'!Q32</f>
        <v>79.209999999999994</v>
      </c>
      <c r="N8" s="25">
        <f>'Котельные факт + нов'!R32</f>
        <v>83</v>
      </c>
      <c r="O8" s="25">
        <f>'Котельные факт + нов'!S32</f>
        <v>83</v>
      </c>
      <c r="P8" s="25">
        <f>'Котельные факт + нов'!T32</f>
        <v>83</v>
      </c>
      <c r="Q8" s="25">
        <f>'Котельные факт + нов'!U32</f>
        <v>83</v>
      </c>
    </row>
    <row r="9" spans="1:18" ht="16.5" customHeight="1" x14ac:dyDescent="0.2">
      <c r="A9" s="23" t="s">
        <v>17</v>
      </c>
      <c r="B9" s="6" t="s">
        <v>13</v>
      </c>
      <c r="C9" s="29">
        <f t="shared" ref="C9:Q9" si="1">C5/(C8/100)</f>
        <v>26396.508707741843</v>
      </c>
      <c r="D9" s="29">
        <f t="shared" si="1"/>
        <v>26396.508707741843</v>
      </c>
      <c r="E9" s="29">
        <f t="shared" si="1"/>
        <v>26396.508707741843</v>
      </c>
      <c r="F9" s="29">
        <f t="shared" si="1"/>
        <v>26396.508707741843</v>
      </c>
      <c r="G9" s="29">
        <f t="shared" si="1"/>
        <v>26396.508707741843</v>
      </c>
      <c r="H9" s="29">
        <f t="shared" si="1"/>
        <v>26396.508707741843</v>
      </c>
      <c r="I9" s="29">
        <f t="shared" si="1"/>
        <v>26396.508707741843</v>
      </c>
      <c r="J9" s="29">
        <f t="shared" si="1"/>
        <v>26396.508707741843</v>
      </c>
      <c r="K9" s="29">
        <f t="shared" si="1"/>
        <v>26396.508707741843</v>
      </c>
      <c r="L9" s="29">
        <f t="shared" si="1"/>
        <v>26396.508707741843</v>
      </c>
      <c r="M9" s="29">
        <f t="shared" si="1"/>
        <v>22770.77944703952</v>
      </c>
      <c r="N9" s="29">
        <f t="shared" si="1"/>
        <v>21731.005301204823</v>
      </c>
      <c r="O9" s="29">
        <f t="shared" si="1"/>
        <v>21731.005301204823</v>
      </c>
      <c r="P9" s="29">
        <f t="shared" si="1"/>
        <v>21731.005301204823</v>
      </c>
      <c r="Q9" s="29">
        <f t="shared" si="1"/>
        <v>21731.005301204823</v>
      </c>
    </row>
    <row r="10" spans="1:18" ht="16.5" customHeight="1" x14ac:dyDescent="0.2">
      <c r="A10" s="23" t="s">
        <v>40</v>
      </c>
      <c r="B10" s="6" t="s">
        <v>41</v>
      </c>
      <c r="C10" s="70">
        <f t="shared" ref="C10:Q10" si="2">94.6/1000</f>
        <v>9.459999999999999E-2</v>
      </c>
      <c r="D10" s="70">
        <f t="shared" si="2"/>
        <v>9.459999999999999E-2</v>
      </c>
      <c r="E10" s="70">
        <f t="shared" si="2"/>
        <v>9.459999999999999E-2</v>
      </c>
      <c r="F10" s="70">
        <f t="shared" si="2"/>
        <v>9.459999999999999E-2</v>
      </c>
      <c r="G10" s="70">
        <f t="shared" si="2"/>
        <v>9.459999999999999E-2</v>
      </c>
      <c r="H10" s="70">
        <f t="shared" si="2"/>
        <v>9.459999999999999E-2</v>
      </c>
      <c r="I10" s="70">
        <f t="shared" si="2"/>
        <v>9.459999999999999E-2</v>
      </c>
      <c r="J10" s="70">
        <f t="shared" si="2"/>
        <v>9.459999999999999E-2</v>
      </c>
      <c r="K10" s="70">
        <f t="shared" si="2"/>
        <v>9.459999999999999E-2</v>
      </c>
      <c r="L10" s="70">
        <f t="shared" si="2"/>
        <v>9.459999999999999E-2</v>
      </c>
      <c r="M10" s="70">
        <f t="shared" si="2"/>
        <v>9.459999999999999E-2</v>
      </c>
      <c r="N10" s="70">
        <f t="shared" si="2"/>
        <v>9.459999999999999E-2</v>
      </c>
      <c r="O10" s="70">
        <f t="shared" si="2"/>
        <v>9.459999999999999E-2</v>
      </c>
      <c r="P10" s="70">
        <f t="shared" si="2"/>
        <v>9.459999999999999E-2</v>
      </c>
      <c r="Q10" s="70">
        <f t="shared" si="2"/>
        <v>9.459999999999999E-2</v>
      </c>
      <c r="R10" t="s">
        <v>23</v>
      </c>
    </row>
    <row r="11" spans="1:18" ht="15.75" customHeight="1" x14ac:dyDescent="0.2">
      <c r="A11" s="30"/>
      <c r="B11" s="24"/>
      <c r="C11" s="24"/>
      <c r="D11" s="24"/>
      <c r="E11" s="24"/>
      <c r="F11" s="25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8" ht="16.5" customHeight="1" x14ac:dyDescent="0.2">
      <c r="A12" s="23" t="s">
        <v>83</v>
      </c>
      <c r="B12" s="6" t="s">
        <v>4</v>
      </c>
      <c r="C12" s="25">
        <f t="shared" ref="C12:Q12" si="3">ROUND(C10*C9,0)</f>
        <v>2497</v>
      </c>
      <c r="D12" s="25">
        <f t="shared" si="3"/>
        <v>2497</v>
      </c>
      <c r="E12" s="25">
        <f t="shared" si="3"/>
        <v>2497</v>
      </c>
      <c r="F12" s="25">
        <f t="shared" si="3"/>
        <v>2497</v>
      </c>
      <c r="G12" s="25">
        <f t="shared" si="3"/>
        <v>2497</v>
      </c>
      <c r="H12" s="25">
        <f t="shared" si="3"/>
        <v>2497</v>
      </c>
      <c r="I12" s="25">
        <f t="shared" si="3"/>
        <v>2497</v>
      </c>
      <c r="J12" s="25">
        <f t="shared" si="3"/>
        <v>2497</v>
      </c>
      <c r="K12" s="25">
        <f t="shared" si="3"/>
        <v>2497</v>
      </c>
      <c r="L12" s="25">
        <f t="shared" si="3"/>
        <v>2497</v>
      </c>
      <c r="M12" s="25">
        <f t="shared" si="3"/>
        <v>2154</v>
      </c>
      <c r="N12" s="25">
        <f t="shared" si="3"/>
        <v>2056</v>
      </c>
      <c r="O12" s="25">
        <f t="shared" si="3"/>
        <v>2056</v>
      </c>
      <c r="P12" s="25">
        <f t="shared" si="3"/>
        <v>2056</v>
      </c>
      <c r="Q12" s="25">
        <f t="shared" si="3"/>
        <v>2056</v>
      </c>
    </row>
    <row r="13" spans="1:18" ht="16.5" customHeight="1" x14ac:dyDescent="0.2">
      <c r="A13" s="23" t="s">
        <v>87</v>
      </c>
      <c r="B13" s="6" t="s">
        <v>4</v>
      </c>
      <c r="C13" s="25">
        <f>(C12*(1-Неопределенность!$V$12))</f>
        <v>2367.1559999999999</v>
      </c>
      <c r="D13" s="25">
        <f>(D12*(1-Неопределенность!$V$12))</f>
        <v>2367.1559999999999</v>
      </c>
      <c r="E13" s="25">
        <f>(E12*(1-Неопределенность!$V$12))</f>
        <v>2367.1559999999999</v>
      </c>
      <c r="F13" s="25">
        <f>(F12*(1-Неопределенность!$V$12))</f>
        <v>2367.1559999999999</v>
      </c>
      <c r="G13" s="25">
        <f>(G12*(1-Неопределенность!$V$12))</f>
        <v>2367.1559999999999</v>
      </c>
      <c r="H13" s="25">
        <f>(H12*(1-Неопределенность!$V$12))</f>
        <v>2367.1559999999999</v>
      </c>
      <c r="I13" s="25">
        <f>(I12*(1-Неопределенность!$V$12))</f>
        <v>2367.1559999999999</v>
      </c>
      <c r="J13" s="25">
        <f>(J12*(1-Неопределенность!$V$12))</f>
        <v>2367.1559999999999</v>
      </c>
      <c r="K13" s="25">
        <f>(K12*(1-Неопределенность!$V$12))</f>
        <v>2367.1559999999999</v>
      </c>
      <c r="L13" s="25">
        <f>(L12*(1-Неопределенность!$V$12))</f>
        <v>2367.1559999999999</v>
      </c>
      <c r="M13" s="25">
        <f>(M12*(1-Неопределенность!$V$12))</f>
        <v>2041.992</v>
      </c>
      <c r="N13" s="25">
        <f>(N12*(1-Неопределенность!$V$12))</f>
        <v>1949.088</v>
      </c>
      <c r="O13" s="25">
        <f>(O12*(1-Неопределенность!$V$12))</f>
        <v>1949.088</v>
      </c>
      <c r="P13" s="25">
        <f>(P12*(1-Неопределенность!$V$12))</f>
        <v>1949.088</v>
      </c>
      <c r="Q13" s="25">
        <f>(Q12*(1-Неопределенность!$V$12))</f>
        <v>1949.088</v>
      </c>
      <c r="R13" t="s">
        <v>88</v>
      </c>
    </row>
    <row r="14" spans="1:18" ht="16.5" customHeight="1" x14ac:dyDescent="0.2">
      <c r="A14" s="23" t="s">
        <v>89</v>
      </c>
      <c r="B14" s="6" t="s">
        <v>4</v>
      </c>
      <c r="C14" s="25">
        <f>(C12-(C12-'Расчетная модель ПС '!C18)*0.05)</f>
        <v>2425.75</v>
      </c>
      <c r="D14" s="25">
        <f>(D12-(D12-'Расчетная модель ПС '!D18)*0.05)</f>
        <v>2425.75</v>
      </c>
      <c r="E14" s="25">
        <f>(E12-(E12-'Расчетная модель ПС '!E18)*0.05)</f>
        <v>2425.75</v>
      </c>
      <c r="F14" s="25">
        <f>(F12-(F12-'Расчетная модель ПС '!F18)*0.05)</f>
        <v>2425.75</v>
      </c>
      <c r="G14" s="25">
        <f>(G12-(G12-'Расчетная модель ПС '!G18)*0.05)</f>
        <v>2425.75</v>
      </c>
      <c r="H14" s="25">
        <f>(H12-(H12-'Расчетная модель ПС '!H18)*0.05)</f>
        <v>2425.75</v>
      </c>
      <c r="I14" s="25">
        <f>(I12-(I12-'Расчетная модель ПС '!I18)*0.05)</f>
        <v>2425.75</v>
      </c>
      <c r="J14" s="25">
        <f>(J12-(J12-'Расчетная модель ПС '!J18)*0.05)</f>
        <v>2425.75</v>
      </c>
      <c r="K14" s="25">
        <f>(K12-(K12-'Расчетная модель ПС '!K18)*0.05)</f>
        <v>2425.75</v>
      </c>
      <c r="L14" s="25">
        <f>(L12-(L12-'Расчетная модель ПС '!L18)*0.05)</f>
        <v>2425.75</v>
      </c>
      <c r="M14" s="25">
        <f>(M12-(M12-'Расчетная модель ПС '!M18)*0.05)</f>
        <v>2099.9</v>
      </c>
      <c r="N14" s="25">
        <f>(N12-(N12-'Расчетная модель ПС '!N18)*0.05)</f>
        <v>2006.8</v>
      </c>
      <c r="O14" s="25">
        <f>(O12-(O12-'Расчетная модель ПС '!O18)*0.05)</f>
        <v>2006.8</v>
      </c>
      <c r="P14" s="25">
        <f>(P12-(P12-'Расчетная модель ПС '!P18)*0.05)</f>
        <v>2006.8</v>
      </c>
      <c r="Q14" s="25">
        <f>(Q12-(Q12-'Расчетная модель ПС '!Q18)*0.05)</f>
        <v>2006.8</v>
      </c>
      <c r="R14" t="s">
        <v>90</v>
      </c>
    </row>
    <row r="15" spans="1:18" ht="33.75" customHeight="1" x14ac:dyDescent="0.2">
      <c r="A15" s="23" t="s">
        <v>91</v>
      </c>
      <c r="B15" s="6" t="s">
        <v>4</v>
      </c>
      <c r="C15" s="25">
        <f t="shared" ref="C15:Q15" si="4">MIN(C13:C14)</f>
        <v>2367.1559999999999</v>
      </c>
      <c r="D15" s="25">
        <f t="shared" si="4"/>
        <v>2367.1559999999999</v>
      </c>
      <c r="E15" s="25">
        <f t="shared" si="4"/>
        <v>2367.1559999999999</v>
      </c>
      <c r="F15" s="25">
        <f t="shared" si="4"/>
        <v>2367.1559999999999</v>
      </c>
      <c r="G15" s="25">
        <f t="shared" si="4"/>
        <v>2367.1559999999999</v>
      </c>
      <c r="H15" s="25">
        <f t="shared" si="4"/>
        <v>2367.1559999999999</v>
      </c>
      <c r="I15" s="25">
        <f t="shared" si="4"/>
        <v>2367.1559999999999</v>
      </c>
      <c r="J15" s="25">
        <f t="shared" si="4"/>
        <v>2367.1559999999999</v>
      </c>
      <c r="K15" s="25">
        <f t="shared" si="4"/>
        <v>2367.1559999999999</v>
      </c>
      <c r="L15" s="25">
        <f t="shared" si="4"/>
        <v>2367.1559999999999</v>
      </c>
      <c r="M15" s="25">
        <f t="shared" si="4"/>
        <v>2041.992</v>
      </c>
      <c r="N15" s="25">
        <f t="shared" si="4"/>
        <v>1949.088</v>
      </c>
      <c r="O15" s="25">
        <f t="shared" si="4"/>
        <v>1949.088</v>
      </c>
      <c r="P15" s="25">
        <f t="shared" si="4"/>
        <v>1949.088</v>
      </c>
      <c r="Q15" s="25">
        <f t="shared" si="4"/>
        <v>1949.088</v>
      </c>
      <c r="R15" t="s">
        <v>92</v>
      </c>
    </row>
    <row r="16" spans="1:18" ht="15.75" customHeight="1" x14ac:dyDescent="0.2">
      <c r="A16" s="23"/>
      <c r="B16" s="6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1:18" ht="15.75" customHeight="1" x14ac:dyDescent="0.2">
      <c r="A17" s="21" t="s">
        <v>38</v>
      </c>
      <c r="B17" s="22" t="s">
        <v>3</v>
      </c>
      <c r="C17" s="22">
        <v>2027</v>
      </c>
      <c r="D17" s="22">
        <v>2028</v>
      </c>
      <c r="E17" s="22">
        <v>2029</v>
      </c>
      <c r="F17" s="22">
        <v>2030</v>
      </c>
      <c r="G17" s="22">
        <v>2031</v>
      </c>
      <c r="H17" s="22">
        <v>2032</v>
      </c>
      <c r="I17" s="22">
        <v>2033</v>
      </c>
      <c r="J17" s="22">
        <v>2034</v>
      </c>
      <c r="K17" s="22">
        <v>2035</v>
      </c>
      <c r="L17" s="22">
        <v>2036</v>
      </c>
      <c r="M17" s="22">
        <v>2037</v>
      </c>
      <c r="N17" s="22">
        <v>2038</v>
      </c>
      <c r="O17" s="22">
        <v>2039</v>
      </c>
      <c r="P17" s="22">
        <v>2040</v>
      </c>
      <c r="Q17" s="22">
        <v>2041</v>
      </c>
    </row>
    <row r="18" spans="1:18" ht="16.5" customHeight="1" x14ac:dyDescent="0.2">
      <c r="A18" s="23"/>
      <c r="B18" s="6" t="s">
        <v>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8" ht="16.5" customHeight="1" x14ac:dyDescent="0.2">
      <c r="A19" s="23" t="s">
        <v>11</v>
      </c>
      <c r="B19" s="6" t="s">
        <v>12</v>
      </c>
      <c r="C19" s="25">
        <f>'Исходные данные'!$R$4</f>
        <v>620</v>
      </c>
      <c r="D19" s="25">
        <f>'Исходные данные'!$R$4</f>
        <v>620</v>
      </c>
      <c r="E19" s="25">
        <f>'Исходные данные'!$R$4</f>
        <v>620</v>
      </c>
      <c r="F19" s="25">
        <f>'Исходные данные'!$R$4</f>
        <v>620</v>
      </c>
      <c r="G19" s="25">
        <f>'Исходные данные'!$R$4</f>
        <v>620</v>
      </c>
      <c r="H19" s="25">
        <f>'Исходные данные'!$R$4</f>
        <v>620</v>
      </c>
      <c r="I19" s="25">
        <f>'Исходные данные'!$R$4</f>
        <v>620</v>
      </c>
      <c r="J19" s="25">
        <f>'Исходные данные'!$R$4</f>
        <v>620</v>
      </c>
      <c r="K19" s="25">
        <f>'Исходные данные'!$R$4</f>
        <v>620</v>
      </c>
      <c r="L19" s="25">
        <f>'Исходные данные'!$R$4</f>
        <v>620</v>
      </c>
      <c r="M19" s="25">
        <f>'Исходные данные'!$R$4</f>
        <v>620</v>
      </c>
      <c r="N19" s="25">
        <f>'Исходные данные'!$R$4</f>
        <v>620</v>
      </c>
      <c r="O19" s="25">
        <f>'Исходные данные'!$R$4</f>
        <v>620</v>
      </c>
      <c r="P19" s="25">
        <f>'Исходные данные'!$R$4</f>
        <v>620</v>
      </c>
      <c r="Q19" s="25">
        <f>'Исходные данные'!$R$4</f>
        <v>620</v>
      </c>
    </row>
    <row r="20" spans="1:18" ht="16.5" customHeight="1" x14ac:dyDescent="0.2">
      <c r="A20" s="23" t="s">
        <v>11</v>
      </c>
      <c r="B20" s="6" t="s">
        <v>13</v>
      </c>
      <c r="C20" s="25">
        <f t="shared" ref="C20:Q20" si="5">C19*4.1868</f>
        <v>2595.8159999999998</v>
      </c>
      <c r="D20" s="25">
        <f t="shared" si="5"/>
        <v>2595.8159999999998</v>
      </c>
      <c r="E20" s="25">
        <f t="shared" si="5"/>
        <v>2595.8159999999998</v>
      </c>
      <c r="F20" s="25">
        <f t="shared" si="5"/>
        <v>2595.8159999999998</v>
      </c>
      <c r="G20" s="25">
        <f t="shared" si="5"/>
        <v>2595.8159999999998</v>
      </c>
      <c r="H20" s="25">
        <f t="shared" si="5"/>
        <v>2595.8159999999998</v>
      </c>
      <c r="I20" s="25">
        <f t="shared" si="5"/>
        <v>2595.8159999999998</v>
      </c>
      <c r="J20" s="25">
        <f t="shared" si="5"/>
        <v>2595.8159999999998</v>
      </c>
      <c r="K20" s="25">
        <f t="shared" si="5"/>
        <v>2595.8159999999998</v>
      </c>
      <c r="L20" s="25">
        <f t="shared" si="5"/>
        <v>2595.8159999999998</v>
      </c>
      <c r="M20" s="25">
        <f t="shared" si="5"/>
        <v>2595.8159999999998</v>
      </c>
      <c r="N20" s="25">
        <f t="shared" si="5"/>
        <v>2595.8159999999998</v>
      </c>
      <c r="O20" s="25">
        <f t="shared" si="5"/>
        <v>2595.8159999999998</v>
      </c>
      <c r="P20" s="25">
        <f t="shared" si="5"/>
        <v>2595.8159999999998</v>
      </c>
      <c r="Q20" s="25">
        <f t="shared" si="5"/>
        <v>2595.8159999999998</v>
      </c>
    </row>
    <row r="21" spans="1:18" ht="15.75" customHeight="1" x14ac:dyDescent="0.2">
      <c r="A21" s="23"/>
      <c r="B21" s="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8" ht="16.5" customHeight="1" x14ac:dyDescent="0.2">
      <c r="A22" s="69" t="s">
        <v>14</v>
      </c>
      <c r="B22" s="6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8" ht="51" customHeight="1" x14ac:dyDescent="0.2">
      <c r="A23" s="23" t="s">
        <v>15</v>
      </c>
      <c r="B23" s="6" t="s">
        <v>16</v>
      </c>
      <c r="C23" s="25">
        <f>'Котельные факт + нов'!G33</f>
        <v>39.770000000000003</v>
      </c>
      <c r="D23" s="25">
        <f>'Котельные факт + нов'!H33</f>
        <v>39.770000000000003</v>
      </c>
      <c r="E23" s="25">
        <f>'Котельные факт + нов'!I33</f>
        <v>83</v>
      </c>
      <c r="F23" s="25">
        <f>'Котельные факт + нов'!J33</f>
        <v>83</v>
      </c>
      <c r="G23" s="25">
        <f>'Котельные факт + нов'!K33</f>
        <v>83</v>
      </c>
      <c r="H23" s="25">
        <f>'Котельные факт + нов'!L33</f>
        <v>83</v>
      </c>
      <c r="I23" s="25">
        <f>'Котельные факт + нов'!M33</f>
        <v>83</v>
      </c>
      <c r="J23" s="25">
        <f>'Котельные факт + нов'!N33</f>
        <v>83</v>
      </c>
      <c r="K23" s="25">
        <f>'Котельные факт + нов'!O33</f>
        <v>83</v>
      </c>
      <c r="L23" s="25">
        <f>'Котельные факт + нов'!P33</f>
        <v>83</v>
      </c>
      <c r="M23" s="25">
        <f>'Котельные факт + нов'!Q33</f>
        <v>83</v>
      </c>
      <c r="N23" s="25">
        <f>'Котельные факт + нов'!R33</f>
        <v>83</v>
      </c>
      <c r="O23" s="25">
        <f>'Котельные факт + нов'!S33</f>
        <v>83</v>
      </c>
      <c r="P23" s="25">
        <f>'Котельные факт + нов'!T33</f>
        <v>83</v>
      </c>
      <c r="Q23" s="25">
        <f>'Котельные факт + нов'!U33</f>
        <v>83</v>
      </c>
    </row>
    <row r="24" spans="1:18" ht="16.5" customHeight="1" x14ac:dyDescent="0.2">
      <c r="A24" s="23" t="s">
        <v>17</v>
      </c>
      <c r="B24" s="6" t="s">
        <v>13</v>
      </c>
      <c r="C24" s="25">
        <f t="shared" ref="C24:Q24" si="6">C20/(C23/100)</f>
        <v>6527.0706562735713</v>
      </c>
      <c r="D24" s="25">
        <f t="shared" si="6"/>
        <v>6527.0706562735713</v>
      </c>
      <c r="E24" s="25">
        <f t="shared" si="6"/>
        <v>3127.489156626506</v>
      </c>
      <c r="F24" s="25">
        <f t="shared" si="6"/>
        <v>3127.489156626506</v>
      </c>
      <c r="G24" s="25">
        <f t="shared" si="6"/>
        <v>3127.489156626506</v>
      </c>
      <c r="H24" s="25">
        <f t="shared" si="6"/>
        <v>3127.489156626506</v>
      </c>
      <c r="I24" s="25">
        <f t="shared" si="6"/>
        <v>3127.489156626506</v>
      </c>
      <c r="J24" s="25">
        <f t="shared" si="6"/>
        <v>3127.489156626506</v>
      </c>
      <c r="K24" s="25">
        <f t="shared" si="6"/>
        <v>3127.489156626506</v>
      </c>
      <c r="L24" s="25">
        <f t="shared" si="6"/>
        <v>3127.489156626506</v>
      </c>
      <c r="M24" s="25">
        <f t="shared" si="6"/>
        <v>3127.489156626506</v>
      </c>
      <c r="N24" s="25">
        <f t="shared" si="6"/>
        <v>3127.489156626506</v>
      </c>
      <c r="O24" s="25">
        <f t="shared" si="6"/>
        <v>3127.489156626506</v>
      </c>
      <c r="P24" s="25">
        <f t="shared" si="6"/>
        <v>3127.489156626506</v>
      </c>
      <c r="Q24" s="25">
        <f t="shared" si="6"/>
        <v>3127.489156626506</v>
      </c>
    </row>
    <row r="25" spans="1:18" ht="16.5" customHeight="1" x14ac:dyDescent="0.2">
      <c r="A25" s="23" t="s">
        <v>40</v>
      </c>
      <c r="B25" s="6" t="s">
        <v>41</v>
      </c>
      <c r="C25" s="29">
        <f t="shared" ref="C25:Q25" si="7">94.6/1000</f>
        <v>9.459999999999999E-2</v>
      </c>
      <c r="D25" s="29">
        <f t="shared" si="7"/>
        <v>9.459999999999999E-2</v>
      </c>
      <c r="E25" s="29">
        <f t="shared" si="7"/>
        <v>9.459999999999999E-2</v>
      </c>
      <c r="F25" s="29">
        <f t="shared" si="7"/>
        <v>9.459999999999999E-2</v>
      </c>
      <c r="G25" s="29">
        <f t="shared" si="7"/>
        <v>9.459999999999999E-2</v>
      </c>
      <c r="H25" s="29">
        <f t="shared" si="7"/>
        <v>9.459999999999999E-2</v>
      </c>
      <c r="I25" s="29">
        <f t="shared" si="7"/>
        <v>9.459999999999999E-2</v>
      </c>
      <c r="J25" s="29">
        <f t="shared" si="7"/>
        <v>9.459999999999999E-2</v>
      </c>
      <c r="K25" s="29">
        <f t="shared" si="7"/>
        <v>9.459999999999999E-2</v>
      </c>
      <c r="L25" s="29">
        <f t="shared" si="7"/>
        <v>9.459999999999999E-2</v>
      </c>
      <c r="M25" s="29">
        <f t="shared" si="7"/>
        <v>9.459999999999999E-2</v>
      </c>
      <c r="N25" s="29">
        <f t="shared" si="7"/>
        <v>9.459999999999999E-2</v>
      </c>
      <c r="O25" s="29">
        <f t="shared" si="7"/>
        <v>9.459999999999999E-2</v>
      </c>
      <c r="P25" s="29">
        <f t="shared" si="7"/>
        <v>9.459999999999999E-2</v>
      </c>
      <c r="Q25" s="29">
        <f t="shared" si="7"/>
        <v>9.459999999999999E-2</v>
      </c>
      <c r="R25" t="s">
        <v>23</v>
      </c>
    </row>
    <row r="26" spans="1:18" ht="15.75" customHeight="1" x14ac:dyDescent="0.2">
      <c r="A26" s="30"/>
      <c r="B26" s="24"/>
      <c r="C26" s="24"/>
      <c r="D26" s="24"/>
      <c r="E26" s="24"/>
      <c r="F26" s="2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8" ht="16.5" customHeight="1" x14ac:dyDescent="0.2">
      <c r="A27" s="23" t="s">
        <v>83</v>
      </c>
      <c r="B27" s="6" t="s">
        <v>4</v>
      </c>
      <c r="C27" s="25">
        <f t="shared" ref="C27:Q27" si="8">ROUND(C25*C24,0)</f>
        <v>617</v>
      </c>
      <c r="D27" s="25">
        <f t="shared" si="8"/>
        <v>617</v>
      </c>
      <c r="E27" s="25">
        <f t="shared" si="8"/>
        <v>296</v>
      </c>
      <c r="F27" s="25">
        <f t="shared" si="8"/>
        <v>296</v>
      </c>
      <c r="G27" s="25">
        <f t="shared" si="8"/>
        <v>296</v>
      </c>
      <c r="H27" s="25">
        <f t="shared" si="8"/>
        <v>296</v>
      </c>
      <c r="I27" s="25">
        <f t="shared" si="8"/>
        <v>296</v>
      </c>
      <c r="J27" s="25">
        <f t="shared" si="8"/>
        <v>296</v>
      </c>
      <c r="K27" s="25">
        <f t="shared" si="8"/>
        <v>296</v>
      </c>
      <c r="L27" s="25">
        <f t="shared" si="8"/>
        <v>296</v>
      </c>
      <c r="M27" s="25">
        <f t="shared" si="8"/>
        <v>296</v>
      </c>
      <c r="N27" s="25">
        <f t="shared" si="8"/>
        <v>296</v>
      </c>
      <c r="O27" s="25">
        <f t="shared" si="8"/>
        <v>296</v>
      </c>
      <c r="P27" s="25">
        <f t="shared" si="8"/>
        <v>296</v>
      </c>
      <c r="Q27" s="25">
        <f t="shared" si="8"/>
        <v>296</v>
      </c>
    </row>
    <row r="28" spans="1:18" ht="16.5" customHeight="1" x14ac:dyDescent="0.2">
      <c r="A28" s="23" t="s">
        <v>87</v>
      </c>
      <c r="B28" s="6" t="s">
        <v>4</v>
      </c>
      <c r="C28" s="25">
        <f>(C27*(1-Неопределенность!$V$12))</f>
        <v>584.91599999999994</v>
      </c>
      <c r="D28" s="25">
        <f>(D27*(1-Неопределенность!$V$12))</f>
        <v>584.91599999999994</v>
      </c>
      <c r="E28" s="25">
        <f>(E27*(1-Неопределенность!$V$12))</f>
        <v>280.608</v>
      </c>
      <c r="F28" s="25">
        <f>(F27*(1-Неопределенность!$V$12))</f>
        <v>280.608</v>
      </c>
      <c r="G28" s="25">
        <f>(G27*(1-Неопределенность!$V$12))</f>
        <v>280.608</v>
      </c>
      <c r="H28" s="25">
        <f>(H27*(1-Неопределенность!$V$12))</f>
        <v>280.608</v>
      </c>
      <c r="I28" s="25">
        <f>(I27*(1-Неопределенность!$V$12))</f>
        <v>280.608</v>
      </c>
      <c r="J28" s="25">
        <f>(J27*(1-Неопределенность!$V$12))</f>
        <v>280.608</v>
      </c>
      <c r="K28" s="25">
        <f>(K27*(1-Неопределенность!$V$12))</f>
        <v>280.608</v>
      </c>
      <c r="L28" s="25">
        <f>(L27*(1-Неопределенность!$V$12))</f>
        <v>280.608</v>
      </c>
      <c r="M28" s="25">
        <f>(M27*(1-Неопределенность!$V$12))</f>
        <v>280.608</v>
      </c>
      <c r="N28" s="25">
        <f>(N27*(1-Неопределенность!$V$12))</f>
        <v>280.608</v>
      </c>
      <c r="O28" s="25">
        <f>(O27*(1-Неопределенность!$V$12))</f>
        <v>280.608</v>
      </c>
      <c r="P28" s="25">
        <f>(P27*(1-Неопределенность!$V$12))</f>
        <v>280.608</v>
      </c>
      <c r="Q28" s="25">
        <f>(Q27*(1-Неопределенность!$V$12))</f>
        <v>280.608</v>
      </c>
      <c r="R28" t="s">
        <v>88</v>
      </c>
    </row>
    <row r="29" spans="1:18" ht="16.5" customHeight="1" x14ac:dyDescent="0.2">
      <c r="A29" s="23" t="s">
        <v>89</v>
      </c>
      <c r="B29" s="6" t="s">
        <v>4</v>
      </c>
      <c r="C29" s="25">
        <f>(C27-(C27-'Расчетная модель ПС '!C45)*0.05)</f>
        <v>594.1</v>
      </c>
      <c r="D29" s="25">
        <f>(D27-(D27-'Расчетная модель ПС '!D45)*0.05)</f>
        <v>594.1</v>
      </c>
      <c r="E29" s="25">
        <f>(E27-(E27-'Расчетная модель ПС '!E45)*0.05)</f>
        <v>289.14999999999998</v>
      </c>
      <c r="F29" s="25">
        <f>(F27-(F27-'Расчетная модель ПС '!F45)*0.05)</f>
        <v>289.14999999999998</v>
      </c>
      <c r="G29" s="25">
        <f>(G27-(G27-'Расчетная модель ПС '!G45)*0.05)</f>
        <v>289.14999999999998</v>
      </c>
      <c r="H29" s="25">
        <f>(H27-(H27-'Расчетная модель ПС '!H45)*0.05)</f>
        <v>289.14999999999998</v>
      </c>
      <c r="I29" s="25">
        <f>(I27-(I27-'Расчетная модель ПС '!I45)*0.05)</f>
        <v>289.14999999999998</v>
      </c>
      <c r="J29" s="25">
        <f>(J27-(J27-'Расчетная модель ПС '!J45)*0.05)</f>
        <v>289.14999999999998</v>
      </c>
      <c r="K29" s="25">
        <f>(K27-(K27-'Расчетная модель ПС '!K45)*0.05)</f>
        <v>289.14999999999998</v>
      </c>
      <c r="L29" s="25">
        <f>(L27-(L27-'Расчетная модель ПС '!L45)*0.05)</f>
        <v>289.14999999999998</v>
      </c>
      <c r="M29" s="25">
        <f>(M27-(M27-'Расчетная модель ПС '!M45)*0.05)</f>
        <v>289.14999999999998</v>
      </c>
      <c r="N29" s="25">
        <f>(N27-(N27-'Расчетная модель ПС '!N45)*0.05)</f>
        <v>289.14999999999998</v>
      </c>
      <c r="O29" s="25">
        <f>(O27-(O27-'Расчетная модель ПС '!O45)*0.05)</f>
        <v>289.14999999999998</v>
      </c>
      <c r="P29" s="25">
        <f>(P27-(P27-'Расчетная модель ПС '!P45)*0.05)</f>
        <v>289.14999999999998</v>
      </c>
      <c r="Q29" s="25">
        <f>(Q27-(Q27-'Расчетная модель ПС '!Q45)*0.05)</f>
        <v>289.14999999999998</v>
      </c>
      <c r="R29" t="s">
        <v>90</v>
      </c>
    </row>
    <row r="30" spans="1:18" ht="33.75" customHeight="1" x14ac:dyDescent="0.2">
      <c r="A30" s="23" t="s">
        <v>91</v>
      </c>
      <c r="B30" s="6"/>
      <c r="C30" s="25">
        <f t="shared" ref="C30:Q30" si="9">MIN(C28:C29)</f>
        <v>584.91599999999994</v>
      </c>
      <c r="D30" s="25">
        <f t="shared" si="9"/>
        <v>584.91599999999994</v>
      </c>
      <c r="E30" s="25">
        <f t="shared" si="9"/>
        <v>280.608</v>
      </c>
      <c r="F30" s="25">
        <f t="shared" si="9"/>
        <v>280.608</v>
      </c>
      <c r="G30" s="25">
        <f t="shared" si="9"/>
        <v>280.608</v>
      </c>
      <c r="H30" s="25">
        <f t="shared" si="9"/>
        <v>280.608</v>
      </c>
      <c r="I30" s="25">
        <f t="shared" si="9"/>
        <v>280.608</v>
      </c>
      <c r="J30" s="25">
        <f t="shared" si="9"/>
        <v>280.608</v>
      </c>
      <c r="K30" s="25">
        <f t="shared" si="9"/>
        <v>280.608</v>
      </c>
      <c r="L30" s="25">
        <f t="shared" si="9"/>
        <v>280.608</v>
      </c>
      <c r="M30" s="25">
        <f t="shared" si="9"/>
        <v>280.608</v>
      </c>
      <c r="N30" s="25">
        <f t="shared" si="9"/>
        <v>280.608</v>
      </c>
      <c r="O30" s="25">
        <f t="shared" si="9"/>
        <v>280.608</v>
      </c>
      <c r="P30" s="25">
        <f t="shared" si="9"/>
        <v>280.608</v>
      </c>
      <c r="Q30" s="25">
        <f t="shared" si="9"/>
        <v>280.608</v>
      </c>
      <c r="R30" t="s">
        <v>92</v>
      </c>
    </row>
    <row r="31" spans="1:18" ht="15.75" customHeight="1" x14ac:dyDescent="0.2">
      <c r="A31" s="23"/>
      <c r="B31" s="6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1:18" ht="15.75" customHeight="1" x14ac:dyDescent="0.2">
      <c r="A32" s="21" t="s">
        <v>42</v>
      </c>
      <c r="B32" s="22" t="s">
        <v>3</v>
      </c>
      <c r="C32" s="22">
        <v>2027</v>
      </c>
      <c r="D32" s="22">
        <v>2028</v>
      </c>
      <c r="E32" s="22">
        <v>2029</v>
      </c>
      <c r="F32" s="22">
        <v>2030</v>
      </c>
      <c r="G32" s="22">
        <v>2031</v>
      </c>
      <c r="H32" s="22">
        <v>2032</v>
      </c>
      <c r="I32" s="22">
        <v>2033</v>
      </c>
      <c r="J32" s="22">
        <v>2034</v>
      </c>
      <c r="K32" s="22">
        <v>2035</v>
      </c>
      <c r="L32" s="22">
        <v>2036</v>
      </c>
      <c r="M32" s="22">
        <v>2037</v>
      </c>
      <c r="N32" s="22">
        <v>2038</v>
      </c>
      <c r="O32" s="22">
        <v>2039</v>
      </c>
      <c r="P32" s="22">
        <v>2040</v>
      </c>
      <c r="Q32" s="22">
        <v>2041</v>
      </c>
    </row>
    <row r="33" spans="1:18" ht="16.5" customHeight="1" x14ac:dyDescent="0.2">
      <c r="A33" s="23"/>
      <c r="B33" s="6" t="s">
        <v>10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8" ht="16.5" customHeight="1" x14ac:dyDescent="0.2">
      <c r="A34" s="23" t="s">
        <v>11</v>
      </c>
      <c r="B34" s="6" t="s">
        <v>12</v>
      </c>
      <c r="C34" s="25">
        <f>'Исходные данные'!$U$4</f>
        <v>2649</v>
      </c>
      <c r="D34" s="25">
        <f>'Исходные данные'!$U$4</f>
        <v>2649</v>
      </c>
      <c r="E34" s="25">
        <f>'Исходные данные'!$U$4</f>
        <v>2649</v>
      </c>
      <c r="F34" s="25">
        <f>'Исходные данные'!$U$4</f>
        <v>2649</v>
      </c>
      <c r="G34" s="25">
        <f>'Исходные данные'!$U$4</f>
        <v>2649</v>
      </c>
      <c r="H34" s="25">
        <f>'Исходные данные'!$U$4</f>
        <v>2649</v>
      </c>
      <c r="I34" s="25">
        <f>'Исходные данные'!$U$4</f>
        <v>2649</v>
      </c>
      <c r="J34" s="25">
        <f>'Исходные данные'!$U$4</f>
        <v>2649</v>
      </c>
      <c r="K34" s="25">
        <f>'Исходные данные'!$U$4</f>
        <v>2649</v>
      </c>
      <c r="L34" s="25">
        <f>'Исходные данные'!$U$4</f>
        <v>2649</v>
      </c>
      <c r="M34" s="25">
        <f>'Исходные данные'!$U$4</f>
        <v>2649</v>
      </c>
      <c r="N34" s="25">
        <f>'Исходные данные'!$U$4</f>
        <v>2649</v>
      </c>
      <c r="O34" s="25">
        <f>'Исходные данные'!$U$4</f>
        <v>2649</v>
      </c>
      <c r="P34" s="25">
        <f>'Исходные данные'!$U$4</f>
        <v>2649</v>
      </c>
      <c r="Q34" s="25">
        <f>'Исходные данные'!$U$4</f>
        <v>2649</v>
      </c>
    </row>
    <row r="35" spans="1:18" ht="16.5" customHeight="1" x14ac:dyDescent="0.2">
      <c r="A35" s="23" t="s">
        <v>11</v>
      </c>
      <c r="B35" s="6" t="s">
        <v>13</v>
      </c>
      <c r="C35" s="25">
        <f t="shared" ref="C35:Q35" si="10">C34*4.1868</f>
        <v>11090.833199999999</v>
      </c>
      <c r="D35" s="25">
        <f t="shared" si="10"/>
        <v>11090.833199999999</v>
      </c>
      <c r="E35" s="25">
        <f t="shared" si="10"/>
        <v>11090.833199999999</v>
      </c>
      <c r="F35" s="25">
        <f t="shared" si="10"/>
        <v>11090.833199999999</v>
      </c>
      <c r="G35" s="25">
        <f t="shared" si="10"/>
        <v>11090.833199999999</v>
      </c>
      <c r="H35" s="25">
        <f t="shared" si="10"/>
        <v>11090.833199999999</v>
      </c>
      <c r="I35" s="25">
        <f t="shared" si="10"/>
        <v>11090.833199999999</v>
      </c>
      <c r="J35" s="25">
        <f t="shared" si="10"/>
        <v>11090.833199999999</v>
      </c>
      <c r="K35" s="25">
        <f t="shared" si="10"/>
        <v>11090.833199999999</v>
      </c>
      <c r="L35" s="25">
        <f t="shared" si="10"/>
        <v>11090.833199999999</v>
      </c>
      <c r="M35" s="25">
        <f t="shared" si="10"/>
        <v>11090.833199999999</v>
      </c>
      <c r="N35" s="25">
        <f t="shared" si="10"/>
        <v>11090.833199999999</v>
      </c>
      <c r="O35" s="25">
        <f t="shared" si="10"/>
        <v>11090.833199999999</v>
      </c>
      <c r="P35" s="25">
        <f t="shared" si="10"/>
        <v>11090.833199999999</v>
      </c>
      <c r="Q35" s="25">
        <f t="shared" si="10"/>
        <v>11090.833199999999</v>
      </c>
    </row>
    <row r="36" spans="1:18" ht="15.75" customHeight="1" x14ac:dyDescent="0.2">
      <c r="A36" s="23"/>
      <c r="B36" s="6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8" ht="16.5" customHeight="1" x14ac:dyDescent="0.2">
      <c r="A37" s="69" t="s">
        <v>14</v>
      </c>
      <c r="B37" s="6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8" ht="51" customHeight="1" x14ac:dyDescent="0.2">
      <c r="A38" s="23" t="s">
        <v>15</v>
      </c>
      <c r="B38" s="6" t="s">
        <v>16</v>
      </c>
      <c r="C38" s="25">
        <f>'Котельные факт + нов'!G34</f>
        <v>67.010000000000005</v>
      </c>
      <c r="D38" s="25">
        <f>'Котельные факт + нов'!H34</f>
        <v>67.010000000000005</v>
      </c>
      <c r="E38" s="25">
        <f>'Котельные факт + нов'!I34</f>
        <v>67.010000000000005</v>
      </c>
      <c r="F38" s="25">
        <f>'Котельные факт + нов'!J34</f>
        <v>77.66</v>
      </c>
      <c r="G38" s="25">
        <f>'Котельные факт + нов'!K34</f>
        <v>77.66</v>
      </c>
      <c r="H38" s="25">
        <f>'Котельные факт + нов'!L34</f>
        <v>77.66</v>
      </c>
      <c r="I38" s="25">
        <f>'Котельные факт + нов'!M34</f>
        <v>77.66</v>
      </c>
      <c r="J38" s="25">
        <f>'Котельные факт + нов'!N34</f>
        <v>77.66</v>
      </c>
      <c r="K38" s="25">
        <f>'Котельные факт + нов'!O34</f>
        <v>77.66</v>
      </c>
      <c r="L38" s="25">
        <f>'Котельные факт + нов'!P34</f>
        <v>77.66</v>
      </c>
      <c r="M38" s="25">
        <f>'Котельные факт + нов'!Q34</f>
        <v>77.66</v>
      </c>
      <c r="N38" s="25">
        <f>'Котельные факт + нов'!R34</f>
        <v>86</v>
      </c>
      <c r="O38" s="25">
        <f>'Котельные факт + нов'!S34</f>
        <v>86</v>
      </c>
      <c r="P38" s="25">
        <f>'Котельные факт + нов'!T34</f>
        <v>86</v>
      </c>
      <c r="Q38" s="25">
        <f>'Котельные факт + нов'!U34</f>
        <v>86</v>
      </c>
    </row>
    <row r="39" spans="1:18" ht="16.5" customHeight="1" x14ac:dyDescent="0.2">
      <c r="A39" s="23" t="s">
        <v>43</v>
      </c>
      <c r="B39" s="6" t="s">
        <v>13</v>
      </c>
      <c r="C39" s="25">
        <f t="shared" ref="C39:Q39" si="11">C35/(C38/100)</f>
        <v>16551.012087748095</v>
      </c>
      <c r="D39" s="25">
        <f t="shared" si="11"/>
        <v>16551.012087748095</v>
      </c>
      <c r="E39" s="25">
        <f t="shared" si="11"/>
        <v>16551.012087748095</v>
      </c>
      <c r="F39" s="25">
        <f t="shared" si="11"/>
        <v>14281.268606747361</v>
      </c>
      <c r="G39" s="25">
        <f t="shared" si="11"/>
        <v>14281.268606747361</v>
      </c>
      <c r="H39" s="25">
        <f t="shared" si="11"/>
        <v>14281.268606747361</v>
      </c>
      <c r="I39" s="25">
        <f t="shared" si="11"/>
        <v>14281.268606747361</v>
      </c>
      <c r="J39" s="25">
        <f t="shared" si="11"/>
        <v>14281.268606747361</v>
      </c>
      <c r="K39" s="25">
        <f t="shared" si="11"/>
        <v>14281.268606747361</v>
      </c>
      <c r="L39" s="25">
        <f t="shared" si="11"/>
        <v>14281.268606747361</v>
      </c>
      <c r="M39" s="25">
        <f t="shared" si="11"/>
        <v>14281.268606747361</v>
      </c>
      <c r="N39" s="25">
        <f t="shared" si="11"/>
        <v>12896.317674418604</v>
      </c>
      <c r="O39" s="25">
        <f t="shared" si="11"/>
        <v>12896.317674418604</v>
      </c>
      <c r="P39" s="25">
        <f t="shared" si="11"/>
        <v>12896.317674418604</v>
      </c>
      <c r="Q39" s="25">
        <f t="shared" si="11"/>
        <v>12896.317674418604</v>
      </c>
    </row>
    <row r="40" spans="1:18" ht="16.5" customHeight="1" x14ac:dyDescent="0.2">
      <c r="A40" s="23" t="s">
        <v>84</v>
      </c>
      <c r="B40" s="6" t="s">
        <v>85</v>
      </c>
      <c r="C40" s="29">
        <f t="shared" ref="C40:Q40" si="12">77.4/1000</f>
        <v>7.740000000000001E-2</v>
      </c>
      <c r="D40" s="29">
        <f t="shared" si="12"/>
        <v>7.740000000000001E-2</v>
      </c>
      <c r="E40" s="29">
        <f t="shared" si="12"/>
        <v>7.740000000000001E-2</v>
      </c>
      <c r="F40" s="29">
        <f t="shared" si="12"/>
        <v>7.740000000000001E-2</v>
      </c>
      <c r="G40" s="29">
        <f t="shared" si="12"/>
        <v>7.740000000000001E-2</v>
      </c>
      <c r="H40" s="29">
        <f t="shared" si="12"/>
        <v>7.740000000000001E-2</v>
      </c>
      <c r="I40" s="29">
        <f t="shared" si="12"/>
        <v>7.740000000000001E-2</v>
      </c>
      <c r="J40" s="29">
        <f t="shared" si="12"/>
        <v>7.740000000000001E-2</v>
      </c>
      <c r="K40" s="29">
        <f t="shared" si="12"/>
        <v>7.740000000000001E-2</v>
      </c>
      <c r="L40" s="29">
        <f t="shared" si="12"/>
        <v>7.740000000000001E-2</v>
      </c>
      <c r="M40" s="29">
        <f t="shared" si="12"/>
        <v>7.740000000000001E-2</v>
      </c>
      <c r="N40" s="29">
        <f t="shared" si="12"/>
        <v>7.740000000000001E-2</v>
      </c>
      <c r="O40" s="29">
        <f t="shared" si="12"/>
        <v>7.740000000000001E-2</v>
      </c>
      <c r="P40" s="29">
        <f t="shared" si="12"/>
        <v>7.740000000000001E-2</v>
      </c>
      <c r="Q40" s="29">
        <f t="shared" si="12"/>
        <v>7.740000000000001E-2</v>
      </c>
      <c r="R40" t="s">
        <v>23</v>
      </c>
    </row>
    <row r="41" spans="1:18" ht="15.75" customHeight="1" x14ac:dyDescent="0.2">
      <c r="A41" s="23"/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6.5" customHeight="1" x14ac:dyDescent="0.2">
      <c r="A42" s="23" t="s">
        <v>83</v>
      </c>
      <c r="B42" s="6" t="s">
        <v>4</v>
      </c>
      <c r="C42" s="25">
        <f t="shared" ref="C42:Q42" si="13">ROUND(C40*C39,0)</f>
        <v>1281</v>
      </c>
      <c r="D42" s="25">
        <f t="shared" si="13"/>
        <v>1281</v>
      </c>
      <c r="E42" s="25">
        <f t="shared" si="13"/>
        <v>1281</v>
      </c>
      <c r="F42" s="25">
        <f t="shared" si="13"/>
        <v>1105</v>
      </c>
      <c r="G42" s="25">
        <f t="shared" si="13"/>
        <v>1105</v>
      </c>
      <c r="H42" s="25">
        <f t="shared" si="13"/>
        <v>1105</v>
      </c>
      <c r="I42" s="25">
        <f t="shared" si="13"/>
        <v>1105</v>
      </c>
      <c r="J42" s="25">
        <f t="shared" si="13"/>
        <v>1105</v>
      </c>
      <c r="K42" s="25">
        <f t="shared" si="13"/>
        <v>1105</v>
      </c>
      <c r="L42" s="25">
        <f t="shared" si="13"/>
        <v>1105</v>
      </c>
      <c r="M42" s="25">
        <f t="shared" si="13"/>
        <v>1105</v>
      </c>
      <c r="N42" s="25">
        <f t="shared" si="13"/>
        <v>998</v>
      </c>
      <c r="O42" s="25">
        <f t="shared" si="13"/>
        <v>998</v>
      </c>
      <c r="P42" s="25">
        <f t="shared" si="13"/>
        <v>998</v>
      </c>
      <c r="Q42" s="25">
        <f t="shared" si="13"/>
        <v>998</v>
      </c>
    </row>
    <row r="43" spans="1:18" ht="16.5" customHeight="1" x14ac:dyDescent="0.2">
      <c r="A43" s="23" t="s">
        <v>87</v>
      </c>
      <c r="B43" s="6" t="s">
        <v>4</v>
      </c>
      <c r="C43" s="25">
        <f>(C42*(1-Неопределенность!$V$12))</f>
        <v>1214.3879999999999</v>
      </c>
      <c r="D43" s="25">
        <f>(D42*(1-Неопределенность!$V$12))</f>
        <v>1214.3879999999999</v>
      </c>
      <c r="E43" s="25">
        <f>(E42*(1-Неопределенность!$V$12))</f>
        <v>1214.3879999999999</v>
      </c>
      <c r="F43" s="25">
        <f>(F42*(1-Неопределенность!$V$12))</f>
        <v>1047.54</v>
      </c>
      <c r="G43" s="25">
        <f>(G42*(1-Неопределенность!$V$12))</f>
        <v>1047.54</v>
      </c>
      <c r="H43" s="25">
        <f>(H42*(1-Неопределенность!$V$12))</f>
        <v>1047.54</v>
      </c>
      <c r="I43" s="25">
        <f>(I42*(1-Неопределенность!$V$12))</f>
        <v>1047.54</v>
      </c>
      <c r="J43" s="25">
        <f>(J42*(1-Неопределенность!$V$12))</f>
        <v>1047.54</v>
      </c>
      <c r="K43" s="25">
        <f>(K42*(1-Неопределенность!$V$12))</f>
        <v>1047.54</v>
      </c>
      <c r="L43" s="25">
        <f>(L42*(1-Неопределенность!$V$12))</f>
        <v>1047.54</v>
      </c>
      <c r="M43" s="25">
        <f>(M42*(1-Неопределенность!$V$12))</f>
        <v>1047.54</v>
      </c>
      <c r="N43" s="25">
        <f>(N42*(1-Неопределенность!$V$12))</f>
        <v>946.10399999999993</v>
      </c>
      <c r="O43" s="25">
        <f>(O42*(1-Неопределенность!$V$12))</f>
        <v>946.10399999999993</v>
      </c>
      <c r="P43" s="25">
        <f>(P42*(1-Неопределенность!$V$12))</f>
        <v>946.10399999999993</v>
      </c>
      <c r="Q43" s="25">
        <f>(Q42*(1-Неопределенность!$V$12))</f>
        <v>946.10399999999993</v>
      </c>
      <c r="R43" t="s">
        <v>88</v>
      </c>
    </row>
    <row r="44" spans="1:18" ht="16.5" customHeight="1" x14ac:dyDescent="0.2">
      <c r="A44" s="23" t="s">
        <v>89</v>
      </c>
      <c r="B44" s="6" t="s">
        <v>4</v>
      </c>
      <c r="C44" s="25">
        <f>(C42-(C42-'Расчетная модель ПС '!C70)*0.05)</f>
        <v>1250.3</v>
      </c>
      <c r="D44" s="25">
        <f>(D42-(D42-'Расчетная модель ПС '!D70)*0.05)</f>
        <v>1250.3</v>
      </c>
      <c r="E44" s="25">
        <f>(E42-(E42-'Расчетная модель ПС '!E70)*0.05)</f>
        <v>1250.3</v>
      </c>
      <c r="F44" s="25">
        <f>(F42-(F42-'Расчетная модель ПС '!F70)*0.05)</f>
        <v>1083.0999999999999</v>
      </c>
      <c r="G44" s="25">
        <f>(G42-(G42-'Расчетная модель ПС '!G70)*0.05)</f>
        <v>1083.0999999999999</v>
      </c>
      <c r="H44" s="25">
        <f>(H42-(H42-'Расчетная модель ПС '!H70)*0.05)</f>
        <v>1083.0999999999999</v>
      </c>
      <c r="I44" s="25">
        <f>(I42-(I42-'Расчетная модель ПС '!I70)*0.05)</f>
        <v>1083.0999999999999</v>
      </c>
      <c r="J44" s="25">
        <f>(J42-(J42-'Расчетная модель ПС '!J70)*0.05)</f>
        <v>1083.0999999999999</v>
      </c>
      <c r="K44" s="25">
        <f>(K42-(K42-'Расчетная модель ПС '!K70)*0.05)</f>
        <v>1083.0999999999999</v>
      </c>
      <c r="L44" s="25">
        <f>(L42-(L42-'Расчетная модель ПС '!L70)*0.05)</f>
        <v>1083.0999999999999</v>
      </c>
      <c r="M44" s="25">
        <f>(M42-(M42-'Расчетная модель ПС '!M70)*0.05)</f>
        <v>1083.0999999999999</v>
      </c>
      <c r="N44" s="25">
        <f>(N42-(N42-'Расчетная модель ПС '!N70)*0.05)</f>
        <v>981.45</v>
      </c>
      <c r="O44" s="25">
        <f>(O42-(O42-'Расчетная модель ПС '!O70)*0.05)</f>
        <v>981.45</v>
      </c>
      <c r="P44" s="25">
        <f>(P42-(P42-'Расчетная модель ПС '!P70)*0.05)</f>
        <v>981.45</v>
      </c>
      <c r="Q44" s="25">
        <f>(Q42-(Q42-'Расчетная модель ПС '!Q70)*0.05)</f>
        <v>981.45</v>
      </c>
      <c r="R44" t="s">
        <v>90</v>
      </c>
    </row>
    <row r="45" spans="1:18" ht="33.75" customHeight="1" x14ac:dyDescent="0.2">
      <c r="A45" s="23" t="s">
        <v>91</v>
      </c>
      <c r="B45" s="6"/>
      <c r="C45" s="25">
        <f t="shared" ref="C45:Q45" si="14">MIN(C43:C44)</f>
        <v>1214.3879999999999</v>
      </c>
      <c r="D45" s="25">
        <f t="shared" si="14"/>
        <v>1214.3879999999999</v>
      </c>
      <c r="E45" s="25">
        <f t="shared" si="14"/>
        <v>1214.3879999999999</v>
      </c>
      <c r="F45" s="25">
        <f t="shared" si="14"/>
        <v>1047.54</v>
      </c>
      <c r="G45" s="25">
        <f t="shared" si="14"/>
        <v>1047.54</v>
      </c>
      <c r="H45" s="25">
        <f t="shared" si="14"/>
        <v>1047.54</v>
      </c>
      <c r="I45" s="25">
        <f t="shared" si="14"/>
        <v>1047.54</v>
      </c>
      <c r="J45" s="25">
        <f t="shared" si="14"/>
        <v>1047.54</v>
      </c>
      <c r="K45" s="25">
        <f t="shared" si="14"/>
        <v>1047.54</v>
      </c>
      <c r="L45" s="25">
        <f t="shared" si="14"/>
        <v>1047.54</v>
      </c>
      <c r="M45" s="25">
        <f t="shared" si="14"/>
        <v>1047.54</v>
      </c>
      <c r="N45" s="25">
        <f t="shared" si="14"/>
        <v>946.10399999999993</v>
      </c>
      <c r="O45" s="25">
        <f t="shared" si="14"/>
        <v>946.10399999999993</v>
      </c>
      <c r="P45" s="25">
        <f t="shared" si="14"/>
        <v>946.10399999999993</v>
      </c>
      <c r="Q45" s="25">
        <f t="shared" si="14"/>
        <v>946.10399999999993</v>
      </c>
      <c r="R45" t="s">
        <v>92</v>
      </c>
    </row>
    <row r="46" spans="1:18" ht="15.75" customHeight="1" x14ac:dyDescent="0.2">
      <c r="A46" s="23"/>
      <c r="B46" s="6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</row>
    <row r="47" spans="1:18" ht="15.75" customHeight="1" x14ac:dyDescent="0.2">
      <c r="A47" s="21" t="s">
        <v>46</v>
      </c>
      <c r="B47" s="22" t="s">
        <v>3</v>
      </c>
      <c r="C47" s="22">
        <v>2027</v>
      </c>
      <c r="D47" s="22">
        <v>2028</v>
      </c>
      <c r="E47" s="22">
        <v>2029</v>
      </c>
      <c r="F47" s="22">
        <v>2030</v>
      </c>
      <c r="G47" s="22">
        <v>2031</v>
      </c>
      <c r="H47" s="22">
        <v>2032</v>
      </c>
      <c r="I47" s="22">
        <v>2033</v>
      </c>
      <c r="J47" s="22">
        <v>2034</v>
      </c>
      <c r="K47" s="22">
        <v>2035</v>
      </c>
      <c r="L47" s="22">
        <v>2036</v>
      </c>
      <c r="M47" s="22">
        <v>2037</v>
      </c>
      <c r="N47" s="22">
        <v>2038</v>
      </c>
      <c r="O47" s="22">
        <v>2039</v>
      </c>
      <c r="P47" s="22">
        <v>2040</v>
      </c>
      <c r="Q47" s="22">
        <v>2041</v>
      </c>
    </row>
    <row r="48" spans="1:18" ht="16.5" customHeight="1" x14ac:dyDescent="0.2">
      <c r="A48" s="23"/>
      <c r="B48" s="6" t="s">
        <v>10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8" ht="16.5" customHeight="1" x14ac:dyDescent="0.2">
      <c r="A49" s="23" t="s">
        <v>11</v>
      </c>
      <c r="B49" s="6" t="s">
        <v>12</v>
      </c>
      <c r="C49" s="25">
        <f>'Исходные данные'!$X$4</f>
        <v>710</v>
      </c>
      <c r="D49" s="25">
        <f>'Исходные данные'!$X$4</f>
        <v>710</v>
      </c>
      <c r="E49" s="25">
        <f>'Исходные данные'!$X$4</f>
        <v>710</v>
      </c>
      <c r="F49" s="25">
        <f>'Исходные данные'!$X$4</f>
        <v>710</v>
      </c>
      <c r="G49" s="25">
        <f>'Исходные данные'!$X$4</f>
        <v>710</v>
      </c>
      <c r="H49" s="25">
        <f>'Исходные данные'!$X$4</f>
        <v>710</v>
      </c>
      <c r="I49" s="25">
        <f>'Исходные данные'!$X$4</f>
        <v>710</v>
      </c>
      <c r="J49" s="25">
        <f>'Исходные данные'!$X$4</f>
        <v>710</v>
      </c>
      <c r="K49" s="25">
        <f>'Исходные данные'!$X$4</f>
        <v>710</v>
      </c>
      <c r="L49" s="25">
        <f>'Исходные данные'!$X$4</f>
        <v>710</v>
      </c>
      <c r="M49" s="25">
        <f>'Исходные данные'!$X$4</f>
        <v>710</v>
      </c>
      <c r="N49" s="25">
        <f>'Исходные данные'!$X$4</f>
        <v>710</v>
      </c>
      <c r="O49" s="25">
        <f>'Исходные данные'!$X$4</f>
        <v>710</v>
      </c>
      <c r="P49" s="25">
        <f>'Исходные данные'!$X$4</f>
        <v>710</v>
      </c>
      <c r="Q49" s="25">
        <f>'Исходные данные'!$X$4</f>
        <v>710</v>
      </c>
    </row>
    <row r="50" spans="1:18" ht="16.5" customHeight="1" x14ac:dyDescent="0.2">
      <c r="A50" s="23" t="s">
        <v>11</v>
      </c>
      <c r="B50" s="6" t="s">
        <v>13</v>
      </c>
      <c r="C50" s="25">
        <f t="shared" ref="C50:Q50" si="15">C49*4.1868</f>
        <v>2972.6279999999997</v>
      </c>
      <c r="D50" s="25">
        <f t="shared" si="15"/>
        <v>2972.6279999999997</v>
      </c>
      <c r="E50" s="25">
        <f t="shared" si="15"/>
        <v>2972.6279999999997</v>
      </c>
      <c r="F50" s="25">
        <f t="shared" si="15"/>
        <v>2972.6279999999997</v>
      </c>
      <c r="G50" s="25">
        <f t="shared" si="15"/>
        <v>2972.6279999999997</v>
      </c>
      <c r="H50" s="25">
        <f t="shared" si="15"/>
        <v>2972.6279999999997</v>
      </c>
      <c r="I50" s="25">
        <f t="shared" si="15"/>
        <v>2972.6279999999997</v>
      </c>
      <c r="J50" s="25">
        <f t="shared" si="15"/>
        <v>2972.6279999999997</v>
      </c>
      <c r="K50" s="25">
        <f t="shared" si="15"/>
        <v>2972.6279999999997</v>
      </c>
      <c r="L50" s="25">
        <f t="shared" si="15"/>
        <v>2972.6279999999997</v>
      </c>
      <c r="M50" s="25">
        <f t="shared" si="15"/>
        <v>2972.6279999999997</v>
      </c>
      <c r="N50" s="25">
        <f t="shared" si="15"/>
        <v>2972.6279999999997</v>
      </c>
      <c r="O50" s="25">
        <f t="shared" si="15"/>
        <v>2972.6279999999997</v>
      </c>
      <c r="P50" s="25">
        <f t="shared" si="15"/>
        <v>2972.6279999999997</v>
      </c>
      <c r="Q50" s="25">
        <f t="shared" si="15"/>
        <v>2972.6279999999997</v>
      </c>
    </row>
    <row r="51" spans="1:18" ht="15.75" customHeight="1" x14ac:dyDescent="0.2">
      <c r="A51" s="23"/>
      <c r="B51" s="6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8" ht="16.5" customHeight="1" x14ac:dyDescent="0.2">
      <c r="A52" s="69" t="s">
        <v>14</v>
      </c>
      <c r="B52" s="6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8" ht="51" customHeight="1" x14ac:dyDescent="0.2">
      <c r="A53" s="23" t="s">
        <v>15</v>
      </c>
      <c r="B53" s="6" t="s">
        <v>16</v>
      </c>
      <c r="C53" s="25">
        <f>'Котельные факт + нов'!G35</f>
        <v>50.1</v>
      </c>
      <c r="D53" s="25">
        <f>'Котельные факт + нов'!H35</f>
        <v>50.1</v>
      </c>
      <c r="E53" s="25">
        <f>'Котельные факт + нов'!I35</f>
        <v>50.1</v>
      </c>
      <c r="F53" s="25">
        <f>'Котельные факт + нов'!J35</f>
        <v>50.1</v>
      </c>
      <c r="G53" s="25">
        <f>'Котельные факт + нов'!K35</f>
        <v>50.1</v>
      </c>
      <c r="H53" s="25">
        <f>'Котельные факт + нов'!L35</f>
        <v>50.1</v>
      </c>
      <c r="I53" s="25">
        <f>'Котельные факт + нов'!M35</f>
        <v>50.1</v>
      </c>
      <c r="J53" s="25">
        <f>'Котельные факт + нов'!N35</f>
        <v>50.1</v>
      </c>
      <c r="K53" s="25">
        <f>'Котельные факт + нов'!O35</f>
        <v>50.1</v>
      </c>
      <c r="L53" s="25">
        <f>'Котельные факт + нов'!P35</f>
        <v>50.1</v>
      </c>
      <c r="M53" s="25">
        <f>'Котельные факт + нов'!Q35</f>
        <v>83</v>
      </c>
      <c r="N53" s="25">
        <f>'Котельные факт + нов'!R35</f>
        <v>83</v>
      </c>
      <c r="O53" s="25">
        <f>'Котельные факт + нов'!S35</f>
        <v>83</v>
      </c>
      <c r="P53" s="25">
        <f>'Котельные факт + нов'!T35</f>
        <v>83</v>
      </c>
      <c r="Q53" s="25">
        <f>'Котельные факт + нов'!U35</f>
        <v>83</v>
      </c>
    </row>
    <row r="54" spans="1:18" ht="16.5" customHeight="1" x14ac:dyDescent="0.2">
      <c r="A54" s="23" t="s">
        <v>17</v>
      </c>
      <c r="B54" s="6" t="s">
        <v>13</v>
      </c>
      <c r="C54" s="25">
        <f t="shared" ref="C54:Q54" si="16">C50/(C53/100)</f>
        <v>5933.3892215568858</v>
      </c>
      <c r="D54" s="25">
        <f t="shared" si="16"/>
        <v>5933.3892215568858</v>
      </c>
      <c r="E54" s="25">
        <f t="shared" si="16"/>
        <v>5933.3892215568858</v>
      </c>
      <c r="F54" s="25">
        <f t="shared" si="16"/>
        <v>5933.3892215568858</v>
      </c>
      <c r="G54" s="25">
        <f t="shared" si="16"/>
        <v>5933.3892215568858</v>
      </c>
      <c r="H54" s="25">
        <f t="shared" si="16"/>
        <v>5933.3892215568858</v>
      </c>
      <c r="I54" s="25">
        <f t="shared" si="16"/>
        <v>5933.3892215568858</v>
      </c>
      <c r="J54" s="25">
        <f t="shared" si="16"/>
        <v>5933.3892215568858</v>
      </c>
      <c r="K54" s="25">
        <f t="shared" si="16"/>
        <v>5933.3892215568858</v>
      </c>
      <c r="L54" s="25">
        <f t="shared" si="16"/>
        <v>5933.3892215568858</v>
      </c>
      <c r="M54" s="25">
        <f t="shared" si="16"/>
        <v>3581.479518072289</v>
      </c>
      <c r="N54" s="25">
        <f t="shared" si="16"/>
        <v>3581.479518072289</v>
      </c>
      <c r="O54" s="25">
        <f t="shared" si="16"/>
        <v>3581.479518072289</v>
      </c>
      <c r="P54" s="25">
        <f t="shared" si="16"/>
        <v>3581.479518072289</v>
      </c>
      <c r="Q54" s="25">
        <f t="shared" si="16"/>
        <v>3581.479518072289</v>
      </c>
    </row>
    <row r="55" spans="1:18" ht="16.5" customHeight="1" x14ac:dyDescent="0.2">
      <c r="A55" s="23" t="s">
        <v>40</v>
      </c>
      <c r="B55" s="6" t="s">
        <v>41</v>
      </c>
      <c r="C55" s="29">
        <f t="shared" ref="C55:Q55" si="17">94.6/1000</f>
        <v>9.459999999999999E-2</v>
      </c>
      <c r="D55" s="29">
        <f t="shared" si="17"/>
        <v>9.459999999999999E-2</v>
      </c>
      <c r="E55" s="29">
        <f t="shared" si="17"/>
        <v>9.459999999999999E-2</v>
      </c>
      <c r="F55" s="29">
        <f t="shared" si="17"/>
        <v>9.459999999999999E-2</v>
      </c>
      <c r="G55" s="29">
        <f t="shared" si="17"/>
        <v>9.459999999999999E-2</v>
      </c>
      <c r="H55" s="29">
        <f t="shared" si="17"/>
        <v>9.459999999999999E-2</v>
      </c>
      <c r="I55" s="29">
        <f t="shared" si="17"/>
        <v>9.459999999999999E-2</v>
      </c>
      <c r="J55" s="29">
        <f t="shared" si="17"/>
        <v>9.459999999999999E-2</v>
      </c>
      <c r="K55" s="29">
        <f t="shared" si="17"/>
        <v>9.459999999999999E-2</v>
      </c>
      <c r="L55" s="29">
        <f t="shared" si="17"/>
        <v>9.459999999999999E-2</v>
      </c>
      <c r="M55" s="29">
        <f t="shared" si="17"/>
        <v>9.459999999999999E-2</v>
      </c>
      <c r="N55" s="29">
        <f t="shared" si="17"/>
        <v>9.459999999999999E-2</v>
      </c>
      <c r="O55" s="29">
        <f t="shared" si="17"/>
        <v>9.459999999999999E-2</v>
      </c>
      <c r="P55" s="29">
        <f t="shared" si="17"/>
        <v>9.459999999999999E-2</v>
      </c>
      <c r="Q55" s="29">
        <f t="shared" si="17"/>
        <v>9.459999999999999E-2</v>
      </c>
      <c r="R55" t="s">
        <v>23</v>
      </c>
    </row>
    <row r="56" spans="1:18" ht="15.75" customHeight="1" x14ac:dyDescent="0.2">
      <c r="A56" s="23"/>
      <c r="B56" s="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8" ht="16.5" customHeight="1" x14ac:dyDescent="0.2">
      <c r="A57" s="23" t="s">
        <v>83</v>
      </c>
      <c r="B57" s="6" t="s">
        <v>4</v>
      </c>
      <c r="C57" s="25">
        <f t="shared" ref="C57:Q57" si="18">ROUND(C55*C54,0)</f>
        <v>561</v>
      </c>
      <c r="D57" s="25">
        <f t="shared" si="18"/>
        <v>561</v>
      </c>
      <c r="E57" s="25">
        <f t="shared" si="18"/>
        <v>561</v>
      </c>
      <c r="F57" s="25">
        <f t="shared" si="18"/>
        <v>561</v>
      </c>
      <c r="G57" s="25">
        <f t="shared" si="18"/>
        <v>561</v>
      </c>
      <c r="H57" s="25">
        <f t="shared" si="18"/>
        <v>561</v>
      </c>
      <c r="I57" s="25">
        <f t="shared" si="18"/>
        <v>561</v>
      </c>
      <c r="J57" s="25">
        <f t="shared" si="18"/>
        <v>561</v>
      </c>
      <c r="K57" s="25">
        <f t="shared" si="18"/>
        <v>561</v>
      </c>
      <c r="L57" s="25">
        <f t="shared" si="18"/>
        <v>561</v>
      </c>
      <c r="M57" s="25">
        <f t="shared" si="18"/>
        <v>339</v>
      </c>
      <c r="N57" s="25">
        <f t="shared" si="18"/>
        <v>339</v>
      </c>
      <c r="O57" s="25">
        <f t="shared" si="18"/>
        <v>339</v>
      </c>
      <c r="P57" s="25">
        <f t="shared" si="18"/>
        <v>339</v>
      </c>
      <c r="Q57" s="25">
        <f t="shared" si="18"/>
        <v>339</v>
      </c>
    </row>
    <row r="58" spans="1:18" ht="16.5" customHeight="1" x14ac:dyDescent="0.2">
      <c r="A58" s="23" t="s">
        <v>87</v>
      </c>
      <c r="B58" s="6" t="s">
        <v>4</v>
      </c>
      <c r="C58" s="25">
        <f>(C57*(1-Неопределенность!$V$12))</f>
        <v>531.82799999999997</v>
      </c>
      <c r="D58" s="25">
        <f>(D57*(1-Неопределенность!$V$12))</f>
        <v>531.82799999999997</v>
      </c>
      <c r="E58" s="25">
        <f>(E57*(1-Неопределенность!$V$12))</f>
        <v>531.82799999999997</v>
      </c>
      <c r="F58" s="25">
        <f>(F57*(1-Неопределенность!$V$12))</f>
        <v>531.82799999999997</v>
      </c>
      <c r="G58" s="25">
        <f>(G57*(1-Неопределенность!$V$12))</f>
        <v>531.82799999999997</v>
      </c>
      <c r="H58" s="25">
        <f>(H57*(1-Неопределенность!$V$12))</f>
        <v>531.82799999999997</v>
      </c>
      <c r="I58" s="25">
        <f>(I57*(1-Неопределенность!$V$12))</f>
        <v>531.82799999999997</v>
      </c>
      <c r="J58" s="25">
        <f>(J57*(1-Неопределенность!$V$12))</f>
        <v>531.82799999999997</v>
      </c>
      <c r="K58" s="25">
        <f>(K57*(1-Неопределенность!$V$12))</f>
        <v>531.82799999999997</v>
      </c>
      <c r="L58" s="25">
        <f>(L57*(1-Неопределенность!$V$12))</f>
        <v>531.82799999999997</v>
      </c>
      <c r="M58" s="25">
        <f>(M57*(1-Неопределенность!$V$12))</f>
        <v>321.37199999999996</v>
      </c>
      <c r="N58" s="25">
        <f>(N57*(1-Неопределенность!$V$12))</f>
        <v>321.37199999999996</v>
      </c>
      <c r="O58" s="25">
        <f>(O57*(1-Неопределенность!$V$12))</f>
        <v>321.37199999999996</v>
      </c>
      <c r="P58" s="25">
        <f>(P57*(1-Неопределенность!$V$12))</f>
        <v>321.37199999999996</v>
      </c>
      <c r="Q58" s="25">
        <f>(Q57*(1-Неопределенность!$V$12))</f>
        <v>321.37199999999996</v>
      </c>
      <c r="R58" t="s">
        <v>88</v>
      </c>
    </row>
    <row r="59" spans="1:18" ht="16.5" customHeight="1" x14ac:dyDescent="0.2">
      <c r="A59" s="23" t="s">
        <v>89</v>
      </c>
      <c r="B59" s="6" t="s">
        <v>4</v>
      </c>
      <c r="C59" s="25">
        <f>(C57-(C57-'Расчетная модель ПС '!C96)*0.05)</f>
        <v>542.04999999999995</v>
      </c>
      <c r="D59" s="25">
        <f>(D57-(D57-'Расчетная модель ПС '!D96)*0.05)</f>
        <v>542.04999999999995</v>
      </c>
      <c r="E59" s="25">
        <f>(E57-(E57-'Расчетная модель ПС '!E96)*0.05)</f>
        <v>542.04999999999995</v>
      </c>
      <c r="F59" s="25">
        <f>(F57-(F57-'Расчетная модель ПС '!F96)*0.05)</f>
        <v>542.04999999999995</v>
      </c>
      <c r="G59" s="25">
        <f>(G57-(G57-'Расчетная модель ПС '!G96)*0.05)</f>
        <v>542.04999999999995</v>
      </c>
      <c r="H59" s="25">
        <f>(H57-(H57-'Расчетная модель ПС '!H96)*0.05)</f>
        <v>542.04999999999995</v>
      </c>
      <c r="I59" s="25">
        <f>(I57-(I57-'Расчетная модель ПС '!I96)*0.05)</f>
        <v>542.04999999999995</v>
      </c>
      <c r="J59" s="25">
        <f>(J57-(J57-'Расчетная модель ПС '!J96)*0.05)</f>
        <v>542.04999999999995</v>
      </c>
      <c r="K59" s="25">
        <f>(K57-(K57-'Расчетная модель ПС '!K96)*0.05)</f>
        <v>542.04999999999995</v>
      </c>
      <c r="L59" s="25">
        <f>(L57-(L57-'Расчетная модель ПС '!L96)*0.05)</f>
        <v>542.04999999999995</v>
      </c>
      <c r="M59" s="25">
        <f>(M57-(M57-'Расчетная модель ПС '!M96)*0.05)</f>
        <v>331.15</v>
      </c>
      <c r="N59" s="25">
        <f>(N57-(N57-'Расчетная модель ПС '!N96)*0.05)</f>
        <v>331.15</v>
      </c>
      <c r="O59" s="25">
        <f>(O57-(O57-'Расчетная модель ПС '!O96)*0.05)</f>
        <v>331.15</v>
      </c>
      <c r="P59" s="25">
        <f>(P57-(P57-'Расчетная модель ПС '!P96)*0.05)</f>
        <v>331.15</v>
      </c>
      <c r="Q59" s="25">
        <f>(Q57-(Q57-'Расчетная модель ПС '!Q96)*0.05)</f>
        <v>331.15</v>
      </c>
      <c r="R59" t="s">
        <v>90</v>
      </c>
    </row>
    <row r="60" spans="1:18" ht="33.75" customHeight="1" x14ac:dyDescent="0.2">
      <c r="A60" s="23" t="s">
        <v>91</v>
      </c>
      <c r="B60" s="6" t="s">
        <v>4</v>
      </c>
      <c r="C60" s="25">
        <f t="shared" ref="C60:Q60" si="19">MIN(C58:C59)</f>
        <v>531.82799999999997</v>
      </c>
      <c r="D60" s="25">
        <f t="shared" si="19"/>
        <v>531.82799999999997</v>
      </c>
      <c r="E60" s="25">
        <f t="shared" si="19"/>
        <v>531.82799999999997</v>
      </c>
      <c r="F60" s="25">
        <f t="shared" si="19"/>
        <v>531.82799999999997</v>
      </c>
      <c r="G60" s="25">
        <f t="shared" si="19"/>
        <v>531.82799999999997</v>
      </c>
      <c r="H60" s="25">
        <f t="shared" si="19"/>
        <v>531.82799999999997</v>
      </c>
      <c r="I60" s="25">
        <f t="shared" si="19"/>
        <v>531.82799999999997</v>
      </c>
      <c r="J60" s="25">
        <f t="shared" si="19"/>
        <v>531.82799999999997</v>
      </c>
      <c r="K60" s="25">
        <f t="shared" si="19"/>
        <v>531.82799999999997</v>
      </c>
      <c r="L60" s="25">
        <f t="shared" si="19"/>
        <v>531.82799999999997</v>
      </c>
      <c r="M60" s="25">
        <f t="shared" si="19"/>
        <v>321.37199999999996</v>
      </c>
      <c r="N60" s="25">
        <f t="shared" si="19"/>
        <v>321.37199999999996</v>
      </c>
      <c r="O60" s="25">
        <f t="shared" si="19"/>
        <v>321.37199999999996</v>
      </c>
      <c r="P60" s="25">
        <f t="shared" si="19"/>
        <v>321.37199999999996</v>
      </c>
      <c r="Q60" s="25">
        <f t="shared" si="19"/>
        <v>321.37199999999996</v>
      </c>
      <c r="R60" t="s">
        <v>92</v>
      </c>
    </row>
    <row r="62" spans="1:18" ht="16.5" customHeight="1" x14ac:dyDescent="0.2">
      <c r="A62" s="54" t="s">
        <v>93</v>
      </c>
      <c r="B62" s="55" t="s">
        <v>4</v>
      </c>
      <c r="C62" s="78">
        <f t="shared" ref="C62:Q62" si="20">ROUND(SUM(C12,C27,C42,C57),0)</f>
        <v>4956</v>
      </c>
      <c r="D62" s="78">
        <f t="shared" si="20"/>
        <v>4956</v>
      </c>
      <c r="E62" s="78">
        <f t="shared" si="20"/>
        <v>4635</v>
      </c>
      <c r="F62" s="78">
        <f t="shared" si="20"/>
        <v>4459</v>
      </c>
      <c r="G62" s="78">
        <f t="shared" si="20"/>
        <v>4459</v>
      </c>
      <c r="H62" s="78">
        <f t="shared" si="20"/>
        <v>4459</v>
      </c>
      <c r="I62" s="78">
        <f t="shared" si="20"/>
        <v>4459</v>
      </c>
      <c r="J62" s="78">
        <f t="shared" si="20"/>
        <v>4459</v>
      </c>
      <c r="K62" s="78">
        <f t="shared" si="20"/>
        <v>4459</v>
      </c>
      <c r="L62" s="78">
        <f t="shared" si="20"/>
        <v>4459</v>
      </c>
      <c r="M62" s="78">
        <f t="shared" si="20"/>
        <v>3894</v>
      </c>
      <c r="N62" s="78">
        <f t="shared" si="20"/>
        <v>3689</v>
      </c>
      <c r="O62" s="78">
        <f t="shared" si="20"/>
        <v>3689</v>
      </c>
      <c r="P62" s="78">
        <f t="shared" si="20"/>
        <v>3689</v>
      </c>
      <c r="Q62" s="78">
        <f t="shared" si="20"/>
        <v>3689</v>
      </c>
    </row>
    <row r="63" spans="1:18" ht="16.5" customHeight="1" x14ac:dyDescent="0.2">
      <c r="A63" s="54" t="s">
        <v>94</v>
      </c>
      <c r="B63" s="55" t="s">
        <v>4</v>
      </c>
      <c r="C63" s="78">
        <f t="shared" ref="C63:Q63" si="21">ROUND(SUM(C13,C28,C43,C58),0)</f>
        <v>4698</v>
      </c>
      <c r="D63" s="78">
        <f t="shared" si="21"/>
        <v>4698</v>
      </c>
      <c r="E63" s="78">
        <f t="shared" si="21"/>
        <v>4394</v>
      </c>
      <c r="F63" s="78">
        <f t="shared" si="21"/>
        <v>4227</v>
      </c>
      <c r="G63" s="78">
        <f t="shared" si="21"/>
        <v>4227</v>
      </c>
      <c r="H63" s="78">
        <f t="shared" si="21"/>
        <v>4227</v>
      </c>
      <c r="I63" s="78">
        <f t="shared" si="21"/>
        <v>4227</v>
      </c>
      <c r="J63" s="78">
        <f t="shared" si="21"/>
        <v>4227</v>
      </c>
      <c r="K63" s="78">
        <f t="shared" si="21"/>
        <v>4227</v>
      </c>
      <c r="L63" s="78">
        <f t="shared" si="21"/>
        <v>4227</v>
      </c>
      <c r="M63" s="78">
        <f t="shared" si="21"/>
        <v>3692</v>
      </c>
      <c r="N63" s="78">
        <f t="shared" si="21"/>
        <v>3497</v>
      </c>
      <c r="O63" s="78">
        <f t="shared" si="21"/>
        <v>3497</v>
      </c>
      <c r="P63" s="78">
        <f t="shared" si="21"/>
        <v>3497</v>
      </c>
      <c r="Q63" s="78">
        <f t="shared" si="21"/>
        <v>3497</v>
      </c>
      <c r="R63" t="s">
        <v>88</v>
      </c>
    </row>
    <row r="64" spans="1:18" ht="16.5" customHeight="1" x14ac:dyDescent="0.2">
      <c r="A64" s="54" t="s">
        <v>95</v>
      </c>
      <c r="B64" s="55" t="s">
        <v>4</v>
      </c>
      <c r="C64" s="78">
        <f t="shared" ref="C64:Q64" si="22">ROUND(SUM(C14,C29,C44,C59),0)</f>
        <v>4812</v>
      </c>
      <c r="D64" s="78">
        <f t="shared" si="22"/>
        <v>4812</v>
      </c>
      <c r="E64" s="78">
        <f t="shared" si="22"/>
        <v>4507</v>
      </c>
      <c r="F64" s="78">
        <f t="shared" si="22"/>
        <v>4340</v>
      </c>
      <c r="G64" s="78">
        <f t="shared" si="22"/>
        <v>4340</v>
      </c>
      <c r="H64" s="78">
        <f t="shared" si="22"/>
        <v>4340</v>
      </c>
      <c r="I64" s="78">
        <f t="shared" si="22"/>
        <v>4340</v>
      </c>
      <c r="J64" s="78">
        <f t="shared" si="22"/>
        <v>4340</v>
      </c>
      <c r="K64" s="78">
        <f t="shared" si="22"/>
        <v>4340</v>
      </c>
      <c r="L64" s="78">
        <f t="shared" si="22"/>
        <v>4340</v>
      </c>
      <c r="M64" s="78">
        <f t="shared" si="22"/>
        <v>3803</v>
      </c>
      <c r="N64" s="78">
        <f t="shared" si="22"/>
        <v>3609</v>
      </c>
      <c r="O64" s="78">
        <f t="shared" si="22"/>
        <v>3609</v>
      </c>
      <c r="P64" s="78">
        <f t="shared" si="22"/>
        <v>3609</v>
      </c>
      <c r="Q64" s="78">
        <f t="shared" si="22"/>
        <v>3609</v>
      </c>
      <c r="R64" t="s">
        <v>90</v>
      </c>
    </row>
    <row r="65" spans="1:18" ht="33.75" customHeight="1" x14ac:dyDescent="0.2">
      <c r="A65" s="54" t="s">
        <v>96</v>
      </c>
      <c r="B65" s="55" t="s">
        <v>4</v>
      </c>
      <c r="C65" s="78">
        <f>MIN(C63:C64)</f>
        <v>4698</v>
      </c>
      <c r="D65" s="78">
        <f t="shared" ref="D65:Q65" si="23">MIN(D63:D64)</f>
        <v>4698</v>
      </c>
      <c r="E65" s="78">
        <f t="shared" si="23"/>
        <v>4394</v>
      </c>
      <c r="F65" s="78">
        <f t="shared" si="23"/>
        <v>4227</v>
      </c>
      <c r="G65" s="78">
        <f t="shared" si="23"/>
        <v>4227</v>
      </c>
      <c r="H65" s="78">
        <f t="shared" si="23"/>
        <v>4227</v>
      </c>
      <c r="I65" s="78">
        <f t="shared" si="23"/>
        <v>4227</v>
      </c>
      <c r="J65" s="78">
        <f t="shared" si="23"/>
        <v>4227</v>
      </c>
      <c r="K65" s="78">
        <f t="shared" si="23"/>
        <v>4227</v>
      </c>
      <c r="L65" s="78">
        <f t="shared" si="23"/>
        <v>4227</v>
      </c>
      <c r="M65" s="78">
        <f t="shared" si="23"/>
        <v>3692</v>
      </c>
      <c r="N65" s="78">
        <f t="shared" si="23"/>
        <v>3497</v>
      </c>
      <c r="O65" s="78">
        <f t="shared" si="23"/>
        <v>3497</v>
      </c>
      <c r="P65" s="78">
        <f t="shared" si="23"/>
        <v>3497</v>
      </c>
      <c r="Q65" s="78">
        <f t="shared" si="23"/>
        <v>3497</v>
      </c>
      <c r="R65" t="s">
        <v>92</v>
      </c>
    </row>
    <row r="67" spans="1:18" ht="15.75" customHeight="1" x14ac:dyDescent="0.2"/>
    <row r="70" spans="1:18" ht="15.75" customHeight="1" x14ac:dyDescent="0.2"/>
    <row r="72" spans="1:18" x14ac:dyDescent="0.2">
      <c r="A72" s="79"/>
    </row>
    <row r="73" spans="1:18" x14ac:dyDescent="0.2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</row>
    <row r="74" spans="1:18" x14ac:dyDescent="0.2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</row>
    <row r="75" spans="1:18" x14ac:dyDescent="0.2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</row>
    <row r="76" spans="1:18" x14ac:dyDescent="0.2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</row>
    <row r="77" spans="1:18" x14ac:dyDescent="0.2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x14ac:dyDescent="0.2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x14ac:dyDescent="0.2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79"/>
  <sheetViews>
    <sheetView topLeftCell="A24" zoomScale="90" zoomScaleNormal="90" workbookViewId="0">
      <selection activeCell="F73" sqref="F73"/>
    </sheetView>
  </sheetViews>
  <sheetFormatPr baseColWidth="10" defaultColWidth="10.6640625" defaultRowHeight="16" x14ac:dyDescent="0.2"/>
  <cols>
    <col min="1" max="1" width="48.6640625" style="19" customWidth="1"/>
    <col min="2" max="2" width="13.5" style="20" customWidth="1"/>
    <col min="3" max="3" width="12.33203125" style="73" customWidth="1"/>
    <col min="4" max="4" width="13.33203125" style="20" customWidth="1"/>
    <col min="5" max="17" width="12.5" style="20" customWidth="1"/>
    <col min="18" max="18" width="41.1640625" customWidth="1"/>
  </cols>
  <sheetData>
    <row r="2" spans="1:18" ht="15.75" customHeight="1" x14ac:dyDescent="0.2">
      <c r="A2" s="21" t="s">
        <v>8</v>
      </c>
      <c r="B2" s="22" t="s">
        <v>3</v>
      </c>
      <c r="C2" s="177">
        <v>2027</v>
      </c>
      <c r="D2" s="22">
        <v>2028</v>
      </c>
      <c r="E2" s="22">
        <v>2029</v>
      </c>
      <c r="F2" s="22">
        <v>2030</v>
      </c>
      <c r="G2" s="22">
        <v>2031</v>
      </c>
      <c r="H2" s="22">
        <v>2032</v>
      </c>
      <c r="I2" s="22">
        <v>2033</v>
      </c>
      <c r="J2" s="22">
        <v>2034</v>
      </c>
      <c r="K2" s="22">
        <v>2035</v>
      </c>
      <c r="L2" s="22">
        <v>2036</v>
      </c>
      <c r="M2" s="22">
        <v>2037</v>
      </c>
      <c r="N2" s="22">
        <v>2038</v>
      </c>
      <c r="O2" s="22">
        <v>2039</v>
      </c>
      <c r="P2" s="22">
        <v>2040</v>
      </c>
      <c r="Q2" s="22">
        <v>2041</v>
      </c>
      <c r="R2" t="s">
        <v>9</v>
      </c>
    </row>
    <row r="3" spans="1:18" ht="16.5" customHeight="1" x14ac:dyDescent="0.2">
      <c r="A3" s="23"/>
      <c r="B3" s="6" t="s">
        <v>10</v>
      </c>
      <c r="C3" s="2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16.5" customHeight="1" x14ac:dyDescent="0.2">
      <c r="A4" s="23" t="s">
        <v>11</v>
      </c>
      <c r="B4" s="6" t="s">
        <v>12</v>
      </c>
      <c r="C4" s="25">
        <f>'Исходные данные'!$O$4</f>
        <v>4308</v>
      </c>
      <c r="D4" s="25">
        <f>'Исходные данные'!$O$4</f>
        <v>4308</v>
      </c>
      <c r="E4" s="25">
        <f>'Исходные данные'!$O$4</f>
        <v>4308</v>
      </c>
      <c r="F4" s="25">
        <f>'Исходные данные'!$O$4</f>
        <v>4308</v>
      </c>
      <c r="G4" s="25">
        <f>'Исходные данные'!$O$4</f>
        <v>4308</v>
      </c>
      <c r="H4" s="25">
        <f>'Исходные данные'!$O$4</f>
        <v>4308</v>
      </c>
      <c r="I4" s="25">
        <f>'Исходные данные'!$O$4</f>
        <v>4308</v>
      </c>
      <c r="J4" s="25">
        <f>'Исходные данные'!$O$4</f>
        <v>4308</v>
      </c>
      <c r="K4" s="25">
        <f>'Исходные данные'!$O$4</f>
        <v>4308</v>
      </c>
      <c r="L4" s="25">
        <f>'Исходные данные'!$O$4</f>
        <v>4308</v>
      </c>
      <c r="M4" s="25">
        <f>'Исходные данные'!$O$4</f>
        <v>4308</v>
      </c>
      <c r="N4" s="25">
        <f>'Исходные данные'!$O$4</f>
        <v>4308</v>
      </c>
      <c r="O4" s="25">
        <f>'Исходные данные'!$O$4</f>
        <v>4308</v>
      </c>
      <c r="P4" s="25">
        <f>'Исходные данные'!$O$4</f>
        <v>4308</v>
      </c>
      <c r="Q4" s="25">
        <f>'Исходные данные'!$O$4</f>
        <v>4308</v>
      </c>
    </row>
    <row r="5" spans="1:18" ht="16.5" customHeight="1" x14ac:dyDescent="0.2">
      <c r="A5" s="23" t="s">
        <v>11</v>
      </c>
      <c r="B5" s="6" t="s">
        <v>13</v>
      </c>
      <c r="C5" s="25">
        <f t="shared" ref="C5:Q5" si="0">C4*4.1868</f>
        <v>18036.734400000001</v>
      </c>
      <c r="D5" s="25">
        <f t="shared" si="0"/>
        <v>18036.734400000001</v>
      </c>
      <c r="E5" s="25">
        <f t="shared" si="0"/>
        <v>18036.734400000001</v>
      </c>
      <c r="F5" s="25">
        <f t="shared" si="0"/>
        <v>18036.734400000001</v>
      </c>
      <c r="G5" s="25">
        <f t="shared" si="0"/>
        <v>18036.734400000001</v>
      </c>
      <c r="H5" s="25">
        <f t="shared" si="0"/>
        <v>18036.734400000001</v>
      </c>
      <c r="I5" s="25">
        <f t="shared" si="0"/>
        <v>18036.734400000001</v>
      </c>
      <c r="J5" s="25">
        <f t="shared" si="0"/>
        <v>18036.734400000001</v>
      </c>
      <c r="K5" s="25">
        <f t="shared" si="0"/>
        <v>18036.734400000001</v>
      </c>
      <c r="L5" s="25">
        <f t="shared" si="0"/>
        <v>18036.734400000001</v>
      </c>
      <c r="M5" s="25">
        <f t="shared" si="0"/>
        <v>18036.734400000001</v>
      </c>
      <c r="N5" s="25">
        <f t="shared" si="0"/>
        <v>18036.734400000001</v>
      </c>
      <c r="O5" s="25">
        <f t="shared" si="0"/>
        <v>18036.734400000001</v>
      </c>
      <c r="P5" s="25">
        <f t="shared" si="0"/>
        <v>18036.734400000001</v>
      </c>
      <c r="Q5" s="25">
        <f t="shared" si="0"/>
        <v>18036.734400000001</v>
      </c>
    </row>
    <row r="6" spans="1:18" ht="15.75" customHeight="1" x14ac:dyDescent="0.2">
      <c r="A6" s="23"/>
      <c r="B6" s="6"/>
      <c r="C6" s="25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8" ht="16.5" customHeight="1" x14ac:dyDescent="0.2">
      <c r="A7" s="69" t="s">
        <v>14</v>
      </c>
      <c r="B7" s="6"/>
      <c r="C7" s="25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8" ht="51" customHeight="1" x14ac:dyDescent="0.2">
      <c r="A8" s="23" t="s">
        <v>15</v>
      </c>
      <c r="B8" s="6" t="s">
        <v>16</v>
      </c>
      <c r="C8" s="25">
        <f>'Котельные проект макс КПД котло'!G32</f>
        <v>69.239999999999995</v>
      </c>
      <c r="D8" s="25">
        <f>'Котельные проект макс КПД котло'!H32</f>
        <v>69.239999999999995</v>
      </c>
      <c r="E8" s="25">
        <f>'Котельные проект макс КПД котло'!I32</f>
        <v>69.239999999999995</v>
      </c>
      <c r="F8" s="25">
        <f>'Котельные проект макс КПД котло'!J32</f>
        <v>69.239999999999995</v>
      </c>
      <c r="G8" s="25">
        <f>'Котельные проект макс КПД котло'!K32</f>
        <v>69.239999999999995</v>
      </c>
      <c r="H8" s="25">
        <f>'Котельные проект макс КПД котло'!L32</f>
        <v>69.239999999999995</v>
      </c>
      <c r="I8" s="25">
        <f>'Котельные проект макс КПД котло'!M32</f>
        <v>69.239999999999995</v>
      </c>
      <c r="J8" s="25">
        <f>'Котельные проект макс КПД котло'!N32</f>
        <v>69.239999999999995</v>
      </c>
      <c r="K8" s="25">
        <f>'Котельные проект макс КПД котло'!O32</f>
        <v>69.239999999999995</v>
      </c>
      <c r="L8" s="25">
        <f>'Котельные проект макс КПД котло'!P32</f>
        <v>69.239999999999995</v>
      </c>
      <c r="M8" s="25">
        <f>'Котельные проект макс КПД котло'!Q32</f>
        <v>80.930000000000007</v>
      </c>
      <c r="N8" s="25">
        <f>'Котельные проект макс КПД котло'!R32</f>
        <v>85</v>
      </c>
      <c r="O8" s="25">
        <f>'Котельные проект макс КПД котло'!S32</f>
        <v>85</v>
      </c>
      <c r="P8" s="25">
        <f>'Котельные проект макс КПД котло'!T32</f>
        <v>85</v>
      </c>
      <c r="Q8" s="25">
        <f>'Котельные проект макс КПД котло'!U32</f>
        <v>85</v>
      </c>
    </row>
    <row r="9" spans="1:18" ht="16.5" customHeight="1" x14ac:dyDescent="0.2">
      <c r="A9" s="23" t="s">
        <v>17</v>
      </c>
      <c r="B9" s="6" t="s">
        <v>13</v>
      </c>
      <c r="C9" s="25">
        <f t="shared" ref="C9:Q9" si="1">C5/(C8/100)</f>
        <v>26049.587521663783</v>
      </c>
      <c r="D9" s="29">
        <f t="shared" si="1"/>
        <v>26049.587521663783</v>
      </c>
      <c r="E9" s="29">
        <f t="shared" si="1"/>
        <v>26049.587521663783</v>
      </c>
      <c r="F9" s="29">
        <f t="shared" si="1"/>
        <v>26049.587521663783</v>
      </c>
      <c r="G9" s="29">
        <f t="shared" si="1"/>
        <v>26049.587521663783</v>
      </c>
      <c r="H9" s="29">
        <f t="shared" si="1"/>
        <v>26049.587521663783</v>
      </c>
      <c r="I9" s="29">
        <f t="shared" si="1"/>
        <v>26049.587521663783</v>
      </c>
      <c r="J9" s="29">
        <f t="shared" si="1"/>
        <v>26049.587521663783</v>
      </c>
      <c r="K9" s="29">
        <f t="shared" si="1"/>
        <v>26049.587521663783</v>
      </c>
      <c r="L9" s="29">
        <f t="shared" si="1"/>
        <v>26049.587521663783</v>
      </c>
      <c r="M9" s="29">
        <f t="shared" si="1"/>
        <v>22286.833559866551</v>
      </c>
      <c r="N9" s="29">
        <f t="shared" si="1"/>
        <v>21219.687529411767</v>
      </c>
      <c r="O9" s="29">
        <f t="shared" si="1"/>
        <v>21219.687529411767</v>
      </c>
      <c r="P9" s="29">
        <f t="shared" si="1"/>
        <v>21219.687529411767</v>
      </c>
      <c r="Q9" s="29">
        <f t="shared" si="1"/>
        <v>21219.687529411767</v>
      </c>
    </row>
    <row r="10" spans="1:18" ht="16.5" customHeight="1" x14ac:dyDescent="0.2">
      <c r="A10" s="23" t="s">
        <v>40</v>
      </c>
      <c r="B10" s="6" t="s">
        <v>41</v>
      </c>
      <c r="C10" s="25">
        <f t="shared" ref="C10:Q10" si="2">94.6/1000</f>
        <v>9.459999999999999E-2</v>
      </c>
      <c r="D10" s="70">
        <f t="shared" si="2"/>
        <v>9.459999999999999E-2</v>
      </c>
      <c r="E10" s="70">
        <f t="shared" si="2"/>
        <v>9.459999999999999E-2</v>
      </c>
      <c r="F10" s="70">
        <f t="shared" si="2"/>
        <v>9.459999999999999E-2</v>
      </c>
      <c r="G10" s="70">
        <f t="shared" si="2"/>
        <v>9.459999999999999E-2</v>
      </c>
      <c r="H10" s="70">
        <f t="shared" si="2"/>
        <v>9.459999999999999E-2</v>
      </c>
      <c r="I10" s="70">
        <f t="shared" si="2"/>
        <v>9.459999999999999E-2</v>
      </c>
      <c r="J10" s="70">
        <f t="shared" si="2"/>
        <v>9.459999999999999E-2</v>
      </c>
      <c r="K10" s="70">
        <f t="shared" si="2"/>
        <v>9.459999999999999E-2</v>
      </c>
      <c r="L10" s="70">
        <f t="shared" si="2"/>
        <v>9.459999999999999E-2</v>
      </c>
      <c r="M10" s="70">
        <f t="shared" si="2"/>
        <v>9.459999999999999E-2</v>
      </c>
      <c r="N10" s="70">
        <f t="shared" si="2"/>
        <v>9.459999999999999E-2</v>
      </c>
      <c r="O10" s="70">
        <f t="shared" si="2"/>
        <v>9.459999999999999E-2</v>
      </c>
      <c r="P10" s="70">
        <f t="shared" si="2"/>
        <v>9.459999999999999E-2</v>
      </c>
      <c r="Q10" s="70">
        <f t="shared" si="2"/>
        <v>9.459999999999999E-2</v>
      </c>
      <c r="R10" t="s">
        <v>23</v>
      </c>
    </row>
    <row r="11" spans="1:18" ht="15.75" customHeight="1" x14ac:dyDescent="0.2">
      <c r="A11" s="30"/>
      <c r="B11" s="24"/>
      <c r="C11" s="2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8" ht="16.5" customHeight="1" x14ac:dyDescent="0.2">
      <c r="A12" s="23" t="s">
        <v>83</v>
      </c>
      <c r="B12" s="6" t="s">
        <v>4</v>
      </c>
      <c r="C12" s="25">
        <f t="shared" ref="C12:Q12" si="3">ROUND(C10*C9,0)</f>
        <v>2464</v>
      </c>
      <c r="D12" s="25">
        <f t="shared" si="3"/>
        <v>2464</v>
      </c>
      <c r="E12" s="25">
        <f t="shared" si="3"/>
        <v>2464</v>
      </c>
      <c r="F12" s="25">
        <f t="shared" si="3"/>
        <v>2464</v>
      </c>
      <c r="G12" s="25">
        <f t="shared" si="3"/>
        <v>2464</v>
      </c>
      <c r="H12" s="25">
        <f t="shared" si="3"/>
        <v>2464</v>
      </c>
      <c r="I12" s="25">
        <f t="shared" si="3"/>
        <v>2464</v>
      </c>
      <c r="J12" s="25">
        <f t="shared" si="3"/>
        <v>2464</v>
      </c>
      <c r="K12" s="25">
        <f t="shared" si="3"/>
        <v>2464</v>
      </c>
      <c r="L12" s="25">
        <f t="shared" si="3"/>
        <v>2464</v>
      </c>
      <c r="M12" s="25">
        <f t="shared" si="3"/>
        <v>2108</v>
      </c>
      <c r="N12" s="25">
        <f t="shared" si="3"/>
        <v>2007</v>
      </c>
      <c r="O12" s="25">
        <f t="shared" si="3"/>
        <v>2007</v>
      </c>
      <c r="P12" s="25">
        <f t="shared" si="3"/>
        <v>2007</v>
      </c>
      <c r="Q12" s="25">
        <f t="shared" si="3"/>
        <v>2007</v>
      </c>
    </row>
    <row r="13" spans="1:18" ht="16.5" customHeight="1" x14ac:dyDescent="0.2">
      <c r="A13" s="23" t="s">
        <v>97</v>
      </c>
      <c r="B13" s="6" t="s">
        <v>4</v>
      </c>
      <c r="C13" s="25">
        <f>(C12*(1-Неопределенность!$V$12))</f>
        <v>2335.8719999999998</v>
      </c>
      <c r="D13" s="25">
        <f>(D12*(1-Неопределенность!$V$12))</f>
        <v>2335.8719999999998</v>
      </c>
      <c r="E13" s="25">
        <f>(E12*(1-Неопределенность!$V$12))</f>
        <v>2335.8719999999998</v>
      </c>
      <c r="F13" s="25">
        <f>(F12*(1-Неопределенность!$V$12))</f>
        <v>2335.8719999999998</v>
      </c>
      <c r="G13" s="25">
        <f>(G12*(1-Неопределенность!$V$12))</f>
        <v>2335.8719999999998</v>
      </c>
      <c r="H13" s="25">
        <f>(H12*(1-Неопределенность!$V$12))</f>
        <v>2335.8719999999998</v>
      </c>
      <c r="I13" s="25">
        <f>(I12*(1-Неопределенность!$V$12))</f>
        <v>2335.8719999999998</v>
      </c>
      <c r="J13" s="25">
        <f>(J12*(1-Неопределенность!$V$12))</f>
        <v>2335.8719999999998</v>
      </c>
      <c r="K13" s="25">
        <f>(K12*(1-Неопределенность!$V$12))</f>
        <v>2335.8719999999998</v>
      </c>
      <c r="L13" s="25">
        <f>(L12*(1-Неопределенность!$V$12))</f>
        <v>2335.8719999999998</v>
      </c>
      <c r="M13" s="25">
        <f>(M12*(1-Неопределенность!$V$12))</f>
        <v>1998.384</v>
      </c>
      <c r="N13" s="25">
        <f>(N12*(1-Неопределенность!$V$12))</f>
        <v>1902.636</v>
      </c>
      <c r="O13" s="25">
        <f>(O12*(1-Неопределенность!$V$12))</f>
        <v>1902.636</v>
      </c>
      <c r="P13" s="25">
        <f>(P12*(1-Неопределенность!$V$12))</f>
        <v>1902.636</v>
      </c>
      <c r="Q13" s="25">
        <f>(Q12*(1-Неопределенность!$V$12))</f>
        <v>1902.636</v>
      </c>
      <c r="R13" t="s">
        <v>98</v>
      </c>
    </row>
    <row r="14" spans="1:18" ht="16.5" customHeight="1" x14ac:dyDescent="0.2">
      <c r="A14" s="23" t="s">
        <v>99</v>
      </c>
      <c r="B14" s="6" t="s">
        <v>4</v>
      </c>
      <c r="C14" s="25">
        <f>(C12-(C12-'Расчетная модель ПС '!C18)*0.05)</f>
        <v>2394.4</v>
      </c>
      <c r="D14" s="25">
        <f>(D12-(D12-'Расчетная модель ПС '!D18)*0.05)</f>
        <v>2394.4</v>
      </c>
      <c r="E14" s="25">
        <f>(E12-(E12-'Расчетная модель ПС '!E18)*0.05)</f>
        <v>2394.4</v>
      </c>
      <c r="F14" s="25">
        <f>(F12-(F12-'Расчетная модель ПС '!F18)*0.05)</f>
        <v>2394.4</v>
      </c>
      <c r="G14" s="25">
        <f>(G12-(G12-'Расчетная модель ПС '!G18)*0.05)</f>
        <v>2394.4</v>
      </c>
      <c r="H14" s="25">
        <f>(H12-(H12-'Расчетная модель ПС '!H18)*0.05)</f>
        <v>2394.4</v>
      </c>
      <c r="I14" s="25">
        <f>(I12-(I12-'Расчетная модель ПС '!I18)*0.05)</f>
        <v>2394.4</v>
      </c>
      <c r="J14" s="25">
        <f>(J12-(J12-'Расчетная модель ПС '!J18)*0.05)</f>
        <v>2394.4</v>
      </c>
      <c r="K14" s="25">
        <f>(K12-(K12-'Расчетная модель ПС '!K18)*0.05)</f>
        <v>2394.4</v>
      </c>
      <c r="L14" s="25">
        <f>(L12-(L12-'Расчетная модель ПС '!L18)*0.05)</f>
        <v>2394.4</v>
      </c>
      <c r="M14" s="25">
        <f>(M12-(M12-'Расчетная модель ПС '!M18)*0.05)</f>
        <v>2056.1999999999998</v>
      </c>
      <c r="N14" s="25">
        <f>(N12-(N12-'Расчетная модель ПС '!N18)*0.05)</f>
        <v>1960.25</v>
      </c>
      <c r="O14" s="25">
        <f>(O12-(O12-'Расчетная модель ПС '!O18)*0.05)</f>
        <v>1960.25</v>
      </c>
      <c r="P14" s="25">
        <f>(P12-(P12-'Расчетная модель ПС '!P18)*0.05)</f>
        <v>1960.25</v>
      </c>
      <c r="Q14" s="25">
        <f>(Q12-(Q12-'Расчетная модель ПС '!Q18)*0.05)</f>
        <v>1960.25</v>
      </c>
      <c r="R14" t="s">
        <v>100</v>
      </c>
    </row>
    <row r="15" spans="1:18" ht="33.75" customHeight="1" x14ac:dyDescent="0.2">
      <c r="A15" s="23" t="s">
        <v>91</v>
      </c>
      <c r="B15" s="6" t="s">
        <v>4</v>
      </c>
      <c r="C15" s="25">
        <f t="shared" ref="C15:Q15" si="4">MIN(C13:C14)</f>
        <v>2335.8719999999998</v>
      </c>
      <c r="D15" s="25">
        <f t="shared" si="4"/>
        <v>2335.8719999999998</v>
      </c>
      <c r="E15" s="25">
        <f t="shared" si="4"/>
        <v>2335.8719999999998</v>
      </c>
      <c r="F15" s="25">
        <f t="shared" si="4"/>
        <v>2335.8719999999998</v>
      </c>
      <c r="G15" s="25">
        <f t="shared" si="4"/>
        <v>2335.8719999999998</v>
      </c>
      <c r="H15" s="25">
        <f t="shared" si="4"/>
        <v>2335.8719999999998</v>
      </c>
      <c r="I15" s="25">
        <f t="shared" si="4"/>
        <v>2335.8719999999998</v>
      </c>
      <c r="J15" s="25">
        <f t="shared" si="4"/>
        <v>2335.8719999999998</v>
      </c>
      <c r="K15" s="25">
        <f t="shared" si="4"/>
        <v>2335.8719999999998</v>
      </c>
      <c r="L15" s="25">
        <f t="shared" si="4"/>
        <v>2335.8719999999998</v>
      </c>
      <c r="M15" s="25">
        <f t="shared" si="4"/>
        <v>1998.384</v>
      </c>
      <c r="N15" s="25">
        <f t="shared" si="4"/>
        <v>1902.636</v>
      </c>
      <c r="O15" s="25">
        <f t="shared" si="4"/>
        <v>1902.636</v>
      </c>
      <c r="P15" s="25">
        <f t="shared" si="4"/>
        <v>1902.636</v>
      </c>
      <c r="Q15" s="25">
        <f t="shared" si="4"/>
        <v>1902.636</v>
      </c>
      <c r="R15" t="s">
        <v>101</v>
      </c>
    </row>
    <row r="16" spans="1:18" ht="15.75" customHeight="1" x14ac:dyDescent="0.2">
      <c r="A16" s="23"/>
      <c r="B16" s="6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1:18" ht="15.75" customHeight="1" x14ac:dyDescent="0.2">
      <c r="A17" s="21" t="s">
        <v>38</v>
      </c>
      <c r="B17" s="22" t="s">
        <v>3</v>
      </c>
      <c r="C17" s="177">
        <v>2027</v>
      </c>
      <c r="D17" s="22">
        <v>2028</v>
      </c>
      <c r="E17" s="22">
        <v>2029</v>
      </c>
      <c r="F17" s="22">
        <v>2030</v>
      </c>
      <c r="G17" s="22">
        <v>2031</v>
      </c>
      <c r="H17" s="22">
        <v>2032</v>
      </c>
      <c r="I17" s="22">
        <v>2033</v>
      </c>
      <c r="J17" s="22">
        <v>2034</v>
      </c>
      <c r="K17" s="22">
        <v>2035</v>
      </c>
      <c r="L17" s="22">
        <v>2036</v>
      </c>
      <c r="M17" s="22">
        <v>2037</v>
      </c>
      <c r="N17" s="22">
        <v>2038</v>
      </c>
      <c r="O17" s="22">
        <v>2039</v>
      </c>
      <c r="P17" s="22">
        <v>2040</v>
      </c>
      <c r="Q17" s="22">
        <v>2041</v>
      </c>
    </row>
    <row r="18" spans="1:18" ht="16.5" customHeight="1" x14ac:dyDescent="0.2">
      <c r="A18" s="23"/>
      <c r="B18" s="6" t="s">
        <v>10</v>
      </c>
      <c r="C18" s="25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8" ht="16.5" customHeight="1" x14ac:dyDescent="0.2">
      <c r="A19" s="23" t="s">
        <v>11</v>
      </c>
      <c r="B19" s="6" t="s">
        <v>12</v>
      </c>
      <c r="C19" s="25">
        <f>'Исходные данные'!$R$4</f>
        <v>620</v>
      </c>
      <c r="D19" s="25">
        <f>'Исходные данные'!$R$4</f>
        <v>620</v>
      </c>
      <c r="E19" s="25">
        <f>'Исходные данные'!$R$4</f>
        <v>620</v>
      </c>
      <c r="F19" s="25">
        <f>'Исходные данные'!$R$4</f>
        <v>620</v>
      </c>
      <c r="G19" s="25">
        <f>'Исходные данные'!$R$4</f>
        <v>620</v>
      </c>
      <c r="H19" s="25">
        <f>'Исходные данные'!$R$4</f>
        <v>620</v>
      </c>
      <c r="I19" s="25">
        <f>'Исходные данные'!$R$4</f>
        <v>620</v>
      </c>
      <c r="J19" s="25">
        <f>'Исходные данные'!$R$4</f>
        <v>620</v>
      </c>
      <c r="K19" s="25">
        <f>'Исходные данные'!$R$4</f>
        <v>620</v>
      </c>
      <c r="L19" s="25">
        <f>'Исходные данные'!$R$4</f>
        <v>620</v>
      </c>
      <c r="M19" s="25">
        <f>'Исходные данные'!$R$4</f>
        <v>620</v>
      </c>
      <c r="N19" s="25">
        <f>'Исходные данные'!$R$4</f>
        <v>620</v>
      </c>
      <c r="O19" s="25">
        <f>'Исходные данные'!$R$4</f>
        <v>620</v>
      </c>
      <c r="P19" s="25">
        <f>'Исходные данные'!$R$4</f>
        <v>620</v>
      </c>
      <c r="Q19" s="25">
        <f>'Исходные данные'!$R$4</f>
        <v>620</v>
      </c>
    </row>
    <row r="20" spans="1:18" ht="16.5" customHeight="1" x14ac:dyDescent="0.2">
      <c r="A20" s="23" t="s">
        <v>11</v>
      </c>
      <c r="B20" s="6" t="s">
        <v>13</v>
      </c>
      <c r="C20" s="25">
        <f t="shared" ref="C20:Q20" si="5">C19*4.1868</f>
        <v>2595.8159999999998</v>
      </c>
      <c r="D20" s="25">
        <f t="shared" si="5"/>
        <v>2595.8159999999998</v>
      </c>
      <c r="E20" s="25">
        <f t="shared" si="5"/>
        <v>2595.8159999999998</v>
      </c>
      <c r="F20" s="25">
        <f t="shared" si="5"/>
        <v>2595.8159999999998</v>
      </c>
      <c r="G20" s="25">
        <f t="shared" si="5"/>
        <v>2595.8159999999998</v>
      </c>
      <c r="H20" s="25">
        <f t="shared" si="5"/>
        <v>2595.8159999999998</v>
      </c>
      <c r="I20" s="25">
        <f t="shared" si="5"/>
        <v>2595.8159999999998</v>
      </c>
      <c r="J20" s="25">
        <f t="shared" si="5"/>
        <v>2595.8159999999998</v>
      </c>
      <c r="K20" s="25">
        <f t="shared" si="5"/>
        <v>2595.8159999999998</v>
      </c>
      <c r="L20" s="25">
        <f t="shared" si="5"/>
        <v>2595.8159999999998</v>
      </c>
      <c r="M20" s="25">
        <f t="shared" si="5"/>
        <v>2595.8159999999998</v>
      </c>
      <c r="N20" s="25">
        <f t="shared" si="5"/>
        <v>2595.8159999999998</v>
      </c>
      <c r="O20" s="25">
        <f t="shared" si="5"/>
        <v>2595.8159999999998</v>
      </c>
      <c r="P20" s="25">
        <f t="shared" si="5"/>
        <v>2595.8159999999998</v>
      </c>
      <c r="Q20" s="25">
        <f t="shared" si="5"/>
        <v>2595.8159999999998</v>
      </c>
    </row>
    <row r="21" spans="1:18" ht="15.75" customHeight="1" x14ac:dyDescent="0.2">
      <c r="A21" s="23"/>
      <c r="B21" s="6"/>
      <c r="C21" s="2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8" ht="16.5" customHeight="1" x14ac:dyDescent="0.2">
      <c r="A22" s="69" t="s">
        <v>14</v>
      </c>
      <c r="B22" s="6"/>
      <c r="C22" s="2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8" ht="51" customHeight="1" x14ac:dyDescent="0.2">
      <c r="A23" s="23" t="s">
        <v>15</v>
      </c>
      <c r="B23" s="6" t="s">
        <v>16</v>
      </c>
      <c r="C23" s="25">
        <f>'Котельные проект макс КПД котло'!G33</f>
        <v>39.770000000000003</v>
      </c>
      <c r="D23" s="25">
        <f>'Котельные проект макс КПД котло'!H33</f>
        <v>39.770000000000003</v>
      </c>
      <c r="E23" s="25">
        <f>'Котельные проект макс КПД котло'!I33</f>
        <v>85</v>
      </c>
      <c r="F23" s="25">
        <f>'Котельные проект макс КПД котло'!J33</f>
        <v>85</v>
      </c>
      <c r="G23" s="25">
        <f>'Котельные проект макс КПД котло'!K33</f>
        <v>85</v>
      </c>
      <c r="H23" s="25">
        <f>'Котельные проект макс КПД котло'!L33</f>
        <v>85</v>
      </c>
      <c r="I23" s="25">
        <f>'Котельные проект макс КПД котло'!M33</f>
        <v>85</v>
      </c>
      <c r="J23" s="25">
        <f>'Котельные проект макс КПД котло'!N33</f>
        <v>85</v>
      </c>
      <c r="K23" s="25">
        <f>'Котельные проект макс КПД котло'!O33</f>
        <v>85</v>
      </c>
      <c r="L23" s="25">
        <f>'Котельные проект макс КПД котло'!P33</f>
        <v>85</v>
      </c>
      <c r="M23" s="25">
        <f>'Котельные проект макс КПД котло'!Q33</f>
        <v>85</v>
      </c>
      <c r="N23" s="25">
        <f>'Котельные проект макс КПД котло'!R33</f>
        <v>85</v>
      </c>
      <c r="O23" s="25">
        <f>'Котельные проект макс КПД котло'!S33</f>
        <v>85</v>
      </c>
      <c r="P23" s="25">
        <f>'Котельные проект макс КПД котло'!T33</f>
        <v>85</v>
      </c>
      <c r="Q23" s="25">
        <f>'Котельные проект макс КПД котло'!U33</f>
        <v>85</v>
      </c>
    </row>
    <row r="24" spans="1:18" ht="16.5" customHeight="1" x14ac:dyDescent="0.2">
      <c r="A24" s="23" t="s">
        <v>17</v>
      </c>
      <c r="B24" s="6" t="s">
        <v>13</v>
      </c>
      <c r="C24" s="25">
        <f t="shared" ref="C24:Q24" si="6">C20/(C23/100)</f>
        <v>6527.0706562735713</v>
      </c>
      <c r="D24" s="25">
        <f t="shared" si="6"/>
        <v>6527.0706562735713</v>
      </c>
      <c r="E24" s="25">
        <f t="shared" si="6"/>
        <v>3053.9011764705879</v>
      </c>
      <c r="F24" s="25">
        <f t="shared" si="6"/>
        <v>3053.9011764705879</v>
      </c>
      <c r="G24" s="25">
        <f t="shared" si="6"/>
        <v>3053.9011764705879</v>
      </c>
      <c r="H24" s="25">
        <f t="shared" si="6"/>
        <v>3053.9011764705879</v>
      </c>
      <c r="I24" s="25">
        <f t="shared" si="6"/>
        <v>3053.9011764705879</v>
      </c>
      <c r="J24" s="25">
        <f t="shared" si="6"/>
        <v>3053.9011764705879</v>
      </c>
      <c r="K24" s="25">
        <f t="shared" si="6"/>
        <v>3053.9011764705879</v>
      </c>
      <c r="L24" s="25">
        <f t="shared" si="6"/>
        <v>3053.9011764705879</v>
      </c>
      <c r="M24" s="25">
        <f t="shared" si="6"/>
        <v>3053.9011764705879</v>
      </c>
      <c r="N24" s="25">
        <f t="shared" si="6"/>
        <v>3053.9011764705879</v>
      </c>
      <c r="O24" s="25">
        <f t="shared" si="6"/>
        <v>3053.9011764705879</v>
      </c>
      <c r="P24" s="25">
        <f t="shared" si="6"/>
        <v>3053.9011764705879</v>
      </c>
      <c r="Q24" s="25">
        <f t="shared" si="6"/>
        <v>3053.9011764705879</v>
      </c>
    </row>
    <row r="25" spans="1:18" ht="16.5" customHeight="1" x14ac:dyDescent="0.2">
      <c r="A25" s="23" t="s">
        <v>40</v>
      </c>
      <c r="B25" s="6" t="s">
        <v>41</v>
      </c>
      <c r="C25" s="25">
        <f t="shared" ref="C25:Q25" si="7">94.6/1000</f>
        <v>9.459999999999999E-2</v>
      </c>
      <c r="D25" s="29">
        <f t="shared" si="7"/>
        <v>9.459999999999999E-2</v>
      </c>
      <c r="E25" s="29">
        <f t="shared" si="7"/>
        <v>9.459999999999999E-2</v>
      </c>
      <c r="F25" s="29">
        <f t="shared" si="7"/>
        <v>9.459999999999999E-2</v>
      </c>
      <c r="G25" s="29">
        <f t="shared" si="7"/>
        <v>9.459999999999999E-2</v>
      </c>
      <c r="H25" s="29">
        <f t="shared" si="7"/>
        <v>9.459999999999999E-2</v>
      </c>
      <c r="I25" s="29">
        <f t="shared" si="7"/>
        <v>9.459999999999999E-2</v>
      </c>
      <c r="J25" s="29">
        <f t="shared" si="7"/>
        <v>9.459999999999999E-2</v>
      </c>
      <c r="K25" s="29">
        <f t="shared" si="7"/>
        <v>9.459999999999999E-2</v>
      </c>
      <c r="L25" s="29">
        <f t="shared" si="7"/>
        <v>9.459999999999999E-2</v>
      </c>
      <c r="M25" s="29">
        <f t="shared" si="7"/>
        <v>9.459999999999999E-2</v>
      </c>
      <c r="N25" s="29">
        <f t="shared" si="7"/>
        <v>9.459999999999999E-2</v>
      </c>
      <c r="O25" s="29">
        <f t="shared" si="7"/>
        <v>9.459999999999999E-2</v>
      </c>
      <c r="P25" s="29">
        <f t="shared" si="7"/>
        <v>9.459999999999999E-2</v>
      </c>
      <c r="Q25" s="29">
        <f t="shared" si="7"/>
        <v>9.459999999999999E-2</v>
      </c>
      <c r="R25" t="s">
        <v>23</v>
      </c>
    </row>
    <row r="26" spans="1:18" ht="15.75" customHeight="1" x14ac:dyDescent="0.2">
      <c r="A26" s="30"/>
      <c r="B26" s="24"/>
      <c r="C26" s="25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8" ht="16.5" customHeight="1" x14ac:dyDescent="0.2">
      <c r="A27" s="23" t="s">
        <v>83</v>
      </c>
      <c r="B27" s="6" t="s">
        <v>4</v>
      </c>
      <c r="C27" s="25">
        <f t="shared" ref="C27:Q27" si="8">ROUND(C25*C24,0)</f>
        <v>617</v>
      </c>
      <c r="D27" s="25">
        <f t="shared" si="8"/>
        <v>617</v>
      </c>
      <c r="E27" s="25">
        <f t="shared" si="8"/>
        <v>289</v>
      </c>
      <c r="F27" s="25">
        <f t="shared" si="8"/>
        <v>289</v>
      </c>
      <c r="G27" s="25">
        <f t="shared" si="8"/>
        <v>289</v>
      </c>
      <c r="H27" s="25">
        <f t="shared" si="8"/>
        <v>289</v>
      </c>
      <c r="I27" s="25">
        <f t="shared" si="8"/>
        <v>289</v>
      </c>
      <c r="J27" s="25">
        <f t="shared" si="8"/>
        <v>289</v>
      </c>
      <c r="K27" s="25">
        <f t="shared" si="8"/>
        <v>289</v>
      </c>
      <c r="L27" s="25">
        <f t="shared" si="8"/>
        <v>289</v>
      </c>
      <c r="M27" s="25">
        <f t="shared" si="8"/>
        <v>289</v>
      </c>
      <c r="N27" s="25">
        <f t="shared" si="8"/>
        <v>289</v>
      </c>
      <c r="O27" s="25">
        <f t="shared" si="8"/>
        <v>289</v>
      </c>
      <c r="P27" s="25">
        <f t="shared" si="8"/>
        <v>289</v>
      </c>
      <c r="Q27" s="25">
        <f t="shared" si="8"/>
        <v>289</v>
      </c>
    </row>
    <row r="28" spans="1:18" ht="16.5" customHeight="1" x14ac:dyDescent="0.2">
      <c r="A28" s="23" t="s">
        <v>97</v>
      </c>
      <c r="B28" s="6" t="s">
        <v>4</v>
      </c>
      <c r="C28" s="25">
        <f>(C27*(1-Неопределенность!$V$12))</f>
        <v>584.91599999999994</v>
      </c>
      <c r="D28" s="25">
        <f>(D27*(1-Неопределенность!$V$12))</f>
        <v>584.91599999999994</v>
      </c>
      <c r="E28" s="25">
        <f>(E27*(1-Неопределенность!$V$12))</f>
        <v>273.97199999999998</v>
      </c>
      <c r="F28" s="25">
        <f>(F27*(1-Неопределенность!$V$12))</f>
        <v>273.97199999999998</v>
      </c>
      <c r="G28" s="25">
        <f>(G27*(1-Неопределенность!$V$12))</f>
        <v>273.97199999999998</v>
      </c>
      <c r="H28" s="25">
        <f>(H27*(1-Неопределенность!$V$12))</f>
        <v>273.97199999999998</v>
      </c>
      <c r="I28" s="25">
        <f>(I27*(1-Неопределенность!$V$12))</f>
        <v>273.97199999999998</v>
      </c>
      <c r="J28" s="25">
        <f>(J27*(1-Неопределенность!$V$12))</f>
        <v>273.97199999999998</v>
      </c>
      <c r="K28" s="25">
        <f>(K27*(1-Неопределенность!$V$12))</f>
        <v>273.97199999999998</v>
      </c>
      <c r="L28" s="25">
        <f>(L27*(1-Неопределенность!$V$12))</f>
        <v>273.97199999999998</v>
      </c>
      <c r="M28" s="25">
        <f>(M27*(1-Неопределенность!$V$12))</f>
        <v>273.97199999999998</v>
      </c>
      <c r="N28" s="25">
        <f>(N27*(1-Неопределенность!$V$12))</f>
        <v>273.97199999999998</v>
      </c>
      <c r="O28" s="25">
        <f>(O27*(1-Неопределенность!$V$12))</f>
        <v>273.97199999999998</v>
      </c>
      <c r="P28" s="25">
        <f>(P27*(1-Неопределенность!$V$12))</f>
        <v>273.97199999999998</v>
      </c>
      <c r="Q28" s="25">
        <f>(Q27*(1-Неопределенность!$V$12))</f>
        <v>273.97199999999998</v>
      </c>
      <c r="R28" t="s">
        <v>98</v>
      </c>
    </row>
    <row r="29" spans="1:18" ht="16.5" customHeight="1" x14ac:dyDescent="0.2">
      <c r="A29" s="23" t="s">
        <v>99</v>
      </c>
      <c r="B29" s="6" t="s">
        <v>4</v>
      </c>
      <c r="C29" s="25">
        <f>(C27-(C27-'Расчетная модель ПС '!C45)*0.05)</f>
        <v>594.1</v>
      </c>
      <c r="D29" s="25">
        <f>(D27-(D27-'Расчетная модель ПС '!D45)*0.05)</f>
        <v>594.1</v>
      </c>
      <c r="E29" s="25">
        <f>(E27-(E27-'Расчетная модель ПС '!E45)*0.05)</f>
        <v>282.5</v>
      </c>
      <c r="F29" s="25">
        <f>(F27-(F27-'Расчетная модель ПС '!F45)*0.05)</f>
        <v>282.5</v>
      </c>
      <c r="G29" s="25">
        <f>(G27-(G27-'Расчетная модель ПС '!G45)*0.05)</f>
        <v>282.5</v>
      </c>
      <c r="H29" s="25">
        <f>(H27-(H27-'Расчетная модель ПС '!H45)*0.05)</f>
        <v>282.5</v>
      </c>
      <c r="I29" s="25">
        <f>(I27-(I27-'Расчетная модель ПС '!I45)*0.05)</f>
        <v>282.5</v>
      </c>
      <c r="J29" s="25">
        <f>(J27-(J27-'Расчетная модель ПС '!J45)*0.05)</f>
        <v>282.5</v>
      </c>
      <c r="K29" s="25">
        <f>(K27-(K27-'Расчетная модель ПС '!K45)*0.05)</f>
        <v>282.5</v>
      </c>
      <c r="L29" s="25">
        <f>(L27-(L27-'Расчетная модель ПС '!L45)*0.05)</f>
        <v>282.5</v>
      </c>
      <c r="M29" s="25">
        <f>(M27-(M27-'Расчетная модель ПС '!M45)*0.05)</f>
        <v>282.5</v>
      </c>
      <c r="N29" s="25">
        <f>(N27-(N27-'Расчетная модель ПС '!N45)*0.05)</f>
        <v>282.5</v>
      </c>
      <c r="O29" s="25">
        <f>(O27-(O27-'Расчетная модель ПС '!O45)*0.05)</f>
        <v>282.5</v>
      </c>
      <c r="P29" s="25">
        <f>(P27-(P27-'Расчетная модель ПС '!P45)*0.05)</f>
        <v>282.5</v>
      </c>
      <c r="Q29" s="25">
        <f>(Q27-(Q27-'Расчетная модель ПС '!Q45)*0.05)</f>
        <v>282.5</v>
      </c>
      <c r="R29" t="s">
        <v>100</v>
      </c>
    </row>
    <row r="30" spans="1:18" ht="33.75" customHeight="1" x14ac:dyDescent="0.2">
      <c r="A30" s="23" t="s">
        <v>91</v>
      </c>
      <c r="B30" s="6"/>
      <c r="C30" s="25">
        <f t="shared" ref="C30:Q30" si="9">MIN(C28:C29)</f>
        <v>584.91599999999994</v>
      </c>
      <c r="D30" s="25">
        <f t="shared" si="9"/>
        <v>584.91599999999994</v>
      </c>
      <c r="E30" s="25">
        <f t="shared" si="9"/>
        <v>273.97199999999998</v>
      </c>
      <c r="F30" s="25">
        <f t="shared" si="9"/>
        <v>273.97199999999998</v>
      </c>
      <c r="G30" s="25">
        <f t="shared" si="9"/>
        <v>273.97199999999998</v>
      </c>
      <c r="H30" s="25">
        <f t="shared" si="9"/>
        <v>273.97199999999998</v>
      </c>
      <c r="I30" s="25">
        <f t="shared" si="9"/>
        <v>273.97199999999998</v>
      </c>
      <c r="J30" s="25">
        <f t="shared" si="9"/>
        <v>273.97199999999998</v>
      </c>
      <c r="K30" s="25">
        <f t="shared" si="9"/>
        <v>273.97199999999998</v>
      </c>
      <c r="L30" s="25">
        <f t="shared" si="9"/>
        <v>273.97199999999998</v>
      </c>
      <c r="M30" s="25">
        <f t="shared" si="9"/>
        <v>273.97199999999998</v>
      </c>
      <c r="N30" s="25">
        <f t="shared" si="9"/>
        <v>273.97199999999998</v>
      </c>
      <c r="O30" s="25">
        <f t="shared" si="9"/>
        <v>273.97199999999998</v>
      </c>
      <c r="P30" s="25">
        <f t="shared" si="9"/>
        <v>273.97199999999998</v>
      </c>
      <c r="Q30" s="25">
        <f t="shared" si="9"/>
        <v>273.97199999999998</v>
      </c>
      <c r="R30" t="s">
        <v>101</v>
      </c>
    </row>
    <row r="31" spans="1:18" ht="15.75" customHeight="1" x14ac:dyDescent="0.2">
      <c r="A31" s="23"/>
      <c r="B31" s="6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1:18" ht="15.75" customHeight="1" x14ac:dyDescent="0.2">
      <c r="A32" s="21" t="s">
        <v>42</v>
      </c>
      <c r="B32" s="22" t="s">
        <v>3</v>
      </c>
      <c r="C32" s="177">
        <v>2027</v>
      </c>
      <c r="D32" s="22">
        <v>2028</v>
      </c>
      <c r="E32" s="22">
        <v>2029</v>
      </c>
      <c r="F32" s="22">
        <v>2030</v>
      </c>
      <c r="G32" s="22">
        <v>2031</v>
      </c>
      <c r="H32" s="22">
        <v>2032</v>
      </c>
      <c r="I32" s="22">
        <v>2033</v>
      </c>
      <c r="J32" s="22">
        <v>2034</v>
      </c>
      <c r="K32" s="22">
        <v>2035</v>
      </c>
      <c r="L32" s="22">
        <v>2036</v>
      </c>
      <c r="M32" s="22">
        <v>2037</v>
      </c>
      <c r="N32" s="22">
        <v>2038</v>
      </c>
      <c r="O32" s="22">
        <v>2039</v>
      </c>
      <c r="P32" s="22">
        <v>2040</v>
      </c>
      <c r="Q32" s="22">
        <v>2041</v>
      </c>
    </row>
    <row r="33" spans="1:18" ht="16.5" customHeight="1" x14ac:dyDescent="0.2">
      <c r="A33" s="23"/>
      <c r="B33" s="6" t="s">
        <v>10</v>
      </c>
      <c r="C33" s="25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8" ht="16.5" customHeight="1" x14ac:dyDescent="0.2">
      <c r="A34" s="23" t="s">
        <v>11</v>
      </c>
      <c r="B34" s="6" t="s">
        <v>12</v>
      </c>
      <c r="C34" s="25">
        <f>'Исходные данные'!$U$4</f>
        <v>2649</v>
      </c>
      <c r="D34" s="25">
        <f>'Исходные данные'!$U$4</f>
        <v>2649</v>
      </c>
      <c r="E34" s="25">
        <f>'Исходные данные'!$U$4</f>
        <v>2649</v>
      </c>
      <c r="F34" s="25">
        <f>'Исходные данные'!$U$4</f>
        <v>2649</v>
      </c>
      <c r="G34" s="25">
        <f>'Исходные данные'!$U$4</f>
        <v>2649</v>
      </c>
      <c r="H34" s="25">
        <f>'Исходные данные'!$U$4</f>
        <v>2649</v>
      </c>
      <c r="I34" s="25">
        <f>'Исходные данные'!$U$4</f>
        <v>2649</v>
      </c>
      <c r="J34" s="25">
        <f>'Исходные данные'!$U$4</f>
        <v>2649</v>
      </c>
      <c r="K34" s="25">
        <f>'Исходные данные'!$U$4</f>
        <v>2649</v>
      </c>
      <c r="L34" s="25">
        <f>'Исходные данные'!$U$4</f>
        <v>2649</v>
      </c>
      <c r="M34" s="25">
        <f>'Исходные данные'!$U$4</f>
        <v>2649</v>
      </c>
      <c r="N34" s="25">
        <f>'Исходные данные'!$U$4</f>
        <v>2649</v>
      </c>
      <c r="O34" s="25">
        <f>'Исходные данные'!$U$4</f>
        <v>2649</v>
      </c>
      <c r="P34" s="25">
        <f>'Исходные данные'!$U$4</f>
        <v>2649</v>
      </c>
      <c r="Q34" s="25">
        <f>'Исходные данные'!$U$4</f>
        <v>2649</v>
      </c>
    </row>
    <row r="35" spans="1:18" ht="16.5" customHeight="1" x14ac:dyDescent="0.2">
      <c r="A35" s="23" t="s">
        <v>11</v>
      </c>
      <c r="B35" s="6" t="s">
        <v>13</v>
      </c>
      <c r="C35" s="25">
        <f t="shared" ref="C35:Q35" si="10">C34*4.1868</f>
        <v>11090.833199999999</v>
      </c>
      <c r="D35" s="25">
        <f t="shared" si="10"/>
        <v>11090.833199999999</v>
      </c>
      <c r="E35" s="25">
        <f t="shared" si="10"/>
        <v>11090.833199999999</v>
      </c>
      <c r="F35" s="25">
        <f t="shared" si="10"/>
        <v>11090.833199999999</v>
      </c>
      <c r="G35" s="25">
        <f t="shared" si="10"/>
        <v>11090.833199999999</v>
      </c>
      <c r="H35" s="25">
        <f t="shared" si="10"/>
        <v>11090.833199999999</v>
      </c>
      <c r="I35" s="25">
        <f t="shared" si="10"/>
        <v>11090.833199999999</v>
      </c>
      <c r="J35" s="25">
        <f t="shared" si="10"/>
        <v>11090.833199999999</v>
      </c>
      <c r="K35" s="25">
        <f t="shared" si="10"/>
        <v>11090.833199999999</v>
      </c>
      <c r="L35" s="25">
        <f t="shared" si="10"/>
        <v>11090.833199999999</v>
      </c>
      <c r="M35" s="25">
        <f t="shared" si="10"/>
        <v>11090.833199999999</v>
      </c>
      <c r="N35" s="25">
        <f t="shared" si="10"/>
        <v>11090.833199999999</v>
      </c>
      <c r="O35" s="25">
        <f t="shared" si="10"/>
        <v>11090.833199999999</v>
      </c>
      <c r="P35" s="25">
        <f t="shared" si="10"/>
        <v>11090.833199999999</v>
      </c>
      <c r="Q35" s="25">
        <f t="shared" si="10"/>
        <v>11090.833199999999</v>
      </c>
    </row>
    <row r="36" spans="1:18" ht="15.75" customHeight="1" x14ac:dyDescent="0.2">
      <c r="A36" s="23"/>
      <c r="B36" s="6"/>
      <c r="C36" s="25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8" ht="16.5" customHeight="1" x14ac:dyDescent="0.2">
      <c r="A37" s="69" t="s">
        <v>14</v>
      </c>
      <c r="B37" s="6"/>
      <c r="C37" s="25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8" ht="51" customHeight="1" x14ac:dyDescent="0.2">
      <c r="A38" s="23" t="s">
        <v>15</v>
      </c>
      <c r="B38" s="6" t="s">
        <v>16</v>
      </c>
      <c r="C38" s="25">
        <f>'Котельные проект макс КПД котло'!G34</f>
        <v>67.010000000000005</v>
      </c>
      <c r="D38" s="25">
        <f>'Котельные проект макс КПД котло'!H34</f>
        <v>67.010000000000005</v>
      </c>
      <c r="E38" s="25">
        <f>'Котельные проект макс КПД котло'!I34</f>
        <v>67.010000000000005</v>
      </c>
      <c r="F38" s="25">
        <f>'Котельные проект макс КПД котло'!J34</f>
        <v>79.66</v>
      </c>
      <c r="G38" s="25">
        <f>'Котельные проект макс КПД котло'!K34</f>
        <v>79.66</v>
      </c>
      <c r="H38" s="25">
        <f>'Котельные проект макс КПД котло'!L34</f>
        <v>79.66</v>
      </c>
      <c r="I38" s="25">
        <f>'Котельные проект макс КПД котло'!M34</f>
        <v>79.66</v>
      </c>
      <c r="J38" s="25">
        <f>'Котельные проект макс КПД котло'!N34</f>
        <v>79.66</v>
      </c>
      <c r="K38" s="25">
        <f>'Котельные проект макс КПД котло'!O34</f>
        <v>79.66</v>
      </c>
      <c r="L38" s="25">
        <f>'Котельные проект макс КПД котло'!P34</f>
        <v>79.66</v>
      </c>
      <c r="M38" s="25">
        <f>'Котельные проект макс КПД котло'!Q34</f>
        <v>79.66</v>
      </c>
      <c r="N38" s="25">
        <f>'Котельные проект макс КПД котло'!R34</f>
        <v>90</v>
      </c>
      <c r="O38" s="25">
        <f>'Котельные проект макс КПД котло'!S34</f>
        <v>90</v>
      </c>
      <c r="P38" s="25">
        <f>'Котельные проект макс КПД котло'!T34</f>
        <v>90</v>
      </c>
      <c r="Q38" s="25">
        <f>'Котельные проект макс КПД котло'!U34</f>
        <v>90</v>
      </c>
    </row>
    <row r="39" spans="1:18" ht="16.5" customHeight="1" x14ac:dyDescent="0.2">
      <c r="A39" s="23" t="s">
        <v>43</v>
      </c>
      <c r="B39" s="6" t="s">
        <v>13</v>
      </c>
      <c r="C39" s="25">
        <f t="shared" ref="C39:Q39" si="11">C35/(C38/100)</f>
        <v>16551.012087748095</v>
      </c>
      <c r="D39" s="25">
        <f t="shared" si="11"/>
        <v>16551.012087748095</v>
      </c>
      <c r="E39" s="25">
        <f t="shared" si="11"/>
        <v>16551.012087748095</v>
      </c>
      <c r="F39" s="25">
        <f t="shared" si="11"/>
        <v>13922.713030379111</v>
      </c>
      <c r="G39" s="25">
        <f t="shared" si="11"/>
        <v>13922.713030379111</v>
      </c>
      <c r="H39" s="25">
        <f t="shared" si="11"/>
        <v>13922.713030379111</v>
      </c>
      <c r="I39" s="25">
        <f t="shared" si="11"/>
        <v>13922.713030379111</v>
      </c>
      <c r="J39" s="25">
        <f t="shared" si="11"/>
        <v>13922.713030379111</v>
      </c>
      <c r="K39" s="25">
        <f t="shared" si="11"/>
        <v>13922.713030379111</v>
      </c>
      <c r="L39" s="25">
        <f t="shared" si="11"/>
        <v>13922.713030379111</v>
      </c>
      <c r="M39" s="25">
        <f t="shared" si="11"/>
        <v>13922.713030379111</v>
      </c>
      <c r="N39" s="25">
        <f t="shared" si="11"/>
        <v>12323.147999999999</v>
      </c>
      <c r="O39" s="25">
        <f t="shared" si="11"/>
        <v>12323.147999999999</v>
      </c>
      <c r="P39" s="25">
        <f t="shared" si="11"/>
        <v>12323.147999999999</v>
      </c>
      <c r="Q39" s="25">
        <f t="shared" si="11"/>
        <v>12323.147999999999</v>
      </c>
    </row>
    <row r="40" spans="1:18" ht="16.5" customHeight="1" x14ac:dyDescent="0.2">
      <c r="A40" s="23" t="s">
        <v>84</v>
      </c>
      <c r="B40" s="6" t="s">
        <v>85</v>
      </c>
      <c r="C40" s="25">
        <f t="shared" ref="C40:Q40" si="12">77.4/1000</f>
        <v>7.740000000000001E-2</v>
      </c>
      <c r="D40" s="29">
        <f t="shared" si="12"/>
        <v>7.740000000000001E-2</v>
      </c>
      <c r="E40" s="29">
        <f t="shared" si="12"/>
        <v>7.740000000000001E-2</v>
      </c>
      <c r="F40" s="29">
        <f t="shared" si="12"/>
        <v>7.740000000000001E-2</v>
      </c>
      <c r="G40" s="29">
        <f t="shared" si="12"/>
        <v>7.740000000000001E-2</v>
      </c>
      <c r="H40" s="29">
        <f t="shared" si="12"/>
        <v>7.740000000000001E-2</v>
      </c>
      <c r="I40" s="29">
        <f t="shared" si="12"/>
        <v>7.740000000000001E-2</v>
      </c>
      <c r="J40" s="29">
        <f t="shared" si="12"/>
        <v>7.740000000000001E-2</v>
      </c>
      <c r="K40" s="29">
        <f t="shared" si="12"/>
        <v>7.740000000000001E-2</v>
      </c>
      <c r="L40" s="29">
        <f t="shared" si="12"/>
        <v>7.740000000000001E-2</v>
      </c>
      <c r="M40" s="29">
        <f t="shared" si="12"/>
        <v>7.740000000000001E-2</v>
      </c>
      <c r="N40" s="29">
        <f t="shared" si="12"/>
        <v>7.740000000000001E-2</v>
      </c>
      <c r="O40" s="29">
        <f t="shared" si="12"/>
        <v>7.740000000000001E-2</v>
      </c>
      <c r="P40" s="29">
        <f t="shared" si="12"/>
        <v>7.740000000000001E-2</v>
      </c>
      <c r="Q40" s="29">
        <f t="shared" si="12"/>
        <v>7.740000000000001E-2</v>
      </c>
      <c r="R40" t="s">
        <v>23</v>
      </c>
    </row>
    <row r="41" spans="1:18" ht="15.75" customHeight="1" x14ac:dyDescent="0.2">
      <c r="A41" s="23"/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6.5" customHeight="1" x14ac:dyDescent="0.2">
      <c r="A42" s="23" t="s">
        <v>83</v>
      </c>
      <c r="B42" s="6" t="s">
        <v>4</v>
      </c>
      <c r="C42" s="25">
        <f t="shared" ref="C42:Q42" si="13">ROUND(C40*C39,0)</f>
        <v>1281</v>
      </c>
      <c r="D42" s="25">
        <f t="shared" si="13"/>
        <v>1281</v>
      </c>
      <c r="E42" s="25">
        <f t="shared" si="13"/>
        <v>1281</v>
      </c>
      <c r="F42" s="25">
        <f t="shared" si="13"/>
        <v>1078</v>
      </c>
      <c r="G42" s="25">
        <f t="shared" si="13"/>
        <v>1078</v>
      </c>
      <c r="H42" s="25">
        <f t="shared" si="13"/>
        <v>1078</v>
      </c>
      <c r="I42" s="25">
        <f t="shared" si="13"/>
        <v>1078</v>
      </c>
      <c r="J42" s="25">
        <f t="shared" si="13"/>
        <v>1078</v>
      </c>
      <c r="K42" s="25">
        <f t="shared" si="13"/>
        <v>1078</v>
      </c>
      <c r="L42" s="25">
        <f t="shared" si="13"/>
        <v>1078</v>
      </c>
      <c r="M42" s="25">
        <f t="shared" si="13"/>
        <v>1078</v>
      </c>
      <c r="N42" s="25">
        <f t="shared" si="13"/>
        <v>954</v>
      </c>
      <c r="O42" s="25">
        <f t="shared" si="13"/>
        <v>954</v>
      </c>
      <c r="P42" s="25">
        <f t="shared" si="13"/>
        <v>954</v>
      </c>
      <c r="Q42" s="25">
        <f t="shared" si="13"/>
        <v>954</v>
      </c>
    </row>
    <row r="43" spans="1:18" ht="16.5" customHeight="1" x14ac:dyDescent="0.2">
      <c r="A43" s="23" t="s">
        <v>97</v>
      </c>
      <c r="B43" s="6" t="s">
        <v>4</v>
      </c>
      <c r="C43" s="25">
        <f>(C42*(1-Неопределенность!$V$12))</f>
        <v>1214.3879999999999</v>
      </c>
      <c r="D43" s="25">
        <f>(D42*(1-Неопределенность!$V$12))</f>
        <v>1214.3879999999999</v>
      </c>
      <c r="E43" s="25">
        <f>(E42*(1-Неопределенность!$V$12))</f>
        <v>1214.3879999999999</v>
      </c>
      <c r="F43" s="25">
        <f>(F42*(1-Неопределенность!$V$12))</f>
        <v>1021.944</v>
      </c>
      <c r="G43" s="25">
        <f>(G42*(1-Неопределенность!$V$12))</f>
        <v>1021.944</v>
      </c>
      <c r="H43" s="25">
        <f>(H42*(1-Неопределенность!$V$12))</f>
        <v>1021.944</v>
      </c>
      <c r="I43" s="25">
        <f>(I42*(1-Неопределенность!$V$12))</f>
        <v>1021.944</v>
      </c>
      <c r="J43" s="25">
        <f>(J42*(1-Неопределенность!$V$12))</f>
        <v>1021.944</v>
      </c>
      <c r="K43" s="25">
        <f>(K42*(1-Неопределенность!$V$12))</f>
        <v>1021.944</v>
      </c>
      <c r="L43" s="25">
        <f>(L42*(1-Неопределенность!$V$12))</f>
        <v>1021.944</v>
      </c>
      <c r="M43" s="25">
        <f>(M42*(1-Неопределенность!$V$12))</f>
        <v>1021.944</v>
      </c>
      <c r="N43" s="25">
        <f>(N42*(1-Неопределенность!$V$12))</f>
        <v>904.39199999999994</v>
      </c>
      <c r="O43" s="25">
        <f>(O42*(1-Неопределенность!$V$12))</f>
        <v>904.39199999999994</v>
      </c>
      <c r="P43" s="25">
        <f>(P42*(1-Неопределенность!$V$12))</f>
        <v>904.39199999999994</v>
      </c>
      <c r="Q43" s="25">
        <f>(Q42*(1-Неопределенность!$V$12))</f>
        <v>904.39199999999994</v>
      </c>
      <c r="R43" t="s">
        <v>98</v>
      </c>
    </row>
    <row r="44" spans="1:18" ht="16.5" customHeight="1" x14ac:dyDescent="0.2">
      <c r="A44" s="23" t="s">
        <v>99</v>
      </c>
      <c r="B44" s="6" t="s">
        <v>4</v>
      </c>
      <c r="C44" s="25">
        <f>(C42-(C42-'Расчетная модель ПС '!C70)*0.05)</f>
        <v>1250.3</v>
      </c>
      <c r="D44" s="25">
        <f>(D42-(D42-'Расчетная модель ПС '!D70)*0.05)</f>
        <v>1250.3</v>
      </c>
      <c r="E44" s="25">
        <f>(E42-(E42-'Расчетная модель ПС '!E70)*0.05)</f>
        <v>1250.3</v>
      </c>
      <c r="F44" s="25">
        <f>(F42-(F42-'Расчетная модель ПС '!F70)*0.05)</f>
        <v>1057.45</v>
      </c>
      <c r="G44" s="25">
        <f>(G42-(G42-'Расчетная модель ПС '!G70)*0.05)</f>
        <v>1057.45</v>
      </c>
      <c r="H44" s="25">
        <f>(H42-(H42-'Расчетная модель ПС '!H70)*0.05)</f>
        <v>1057.45</v>
      </c>
      <c r="I44" s="25">
        <f>(I42-(I42-'Расчетная модель ПС '!I70)*0.05)</f>
        <v>1057.45</v>
      </c>
      <c r="J44" s="25">
        <f>(J42-(J42-'Расчетная модель ПС '!J70)*0.05)</f>
        <v>1057.45</v>
      </c>
      <c r="K44" s="25">
        <f>(K42-(K42-'Расчетная модель ПС '!K70)*0.05)</f>
        <v>1057.45</v>
      </c>
      <c r="L44" s="25">
        <f>(L42-(L42-'Расчетная модель ПС '!L70)*0.05)</f>
        <v>1057.45</v>
      </c>
      <c r="M44" s="25">
        <f>(M42-(M42-'Расчетная модель ПС '!M70)*0.05)</f>
        <v>1057.45</v>
      </c>
      <c r="N44" s="25">
        <f>(N42-(N42-'Расчетная модель ПС '!N70)*0.05)</f>
        <v>939.65</v>
      </c>
      <c r="O44" s="25">
        <f>(O42-(O42-'Расчетная модель ПС '!O70)*0.05)</f>
        <v>939.65</v>
      </c>
      <c r="P44" s="25">
        <f>(P42-(P42-'Расчетная модель ПС '!P70)*0.05)</f>
        <v>939.65</v>
      </c>
      <c r="Q44" s="25">
        <f>(Q42-(Q42-'Расчетная модель ПС '!Q70)*0.05)</f>
        <v>939.65</v>
      </c>
      <c r="R44" t="s">
        <v>100</v>
      </c>
    </row>
    <row r="45" spans="1:18" ht="33.75" customHeight="1" x14ac:dyDescent="0.2">
      <c r="A45" s="23" t="s">
        <v>91</v>
      </c>
      <c r="B45" s="6"/>
      <c r="C45" s="25">
        <f t="shared" ref="C45:Q45" si="14">MIN(C43:C44)</f>
        <v>1214.3879999999999</v>
      </c>
      <c r="D45" s="25">
        <f t="shared" si="14"/>
        <v>1214.3879999999999</v>
      </c>
      <c r="E45" s="25">
        <f t="shared" si="14"/>
        <v>1214.3879999999999</v>
      </c>
      <c r="F45" s="25">
        <f t="shared" si="14"/>
        <v>1021.944</v>
      </c>
      <c r="G45" s="25">
        <f t="shared" si="14"/>
        <v>1021.944</v>
      </c>
      <c r="H45" s="25">
        <f t="shared" si="14"/>
        <v>1021.944</v>
      </c>
      <c r="I45" s="25">
        <f t="shared" si="14"/>
        <v>1021.944</v>
      </c>
      <c r="J45" s="25">
        <f t="shared" si="14"/>
        <v>1021.944</v>
      </c>
      <c r="K45" s="25">
        <f t="shared" si="14"/>
        <v>1021.944</v>
      </c>
      <c r="L45" s="25">
        <f t="shared" si="14"/>
        <v>1021.944</v>
      </c>
      <c r="M45" s="25">
        <f t="shared" si="14"/>
        <v>1021.944</v>
      </c>
      <c r="N45" s="25">
        <f t="shared" si="14"/>
        <v>904.39199999999994</v>
      </c>
      <c r="O45" s="25">
        <f t="shared" si="14"/>
        <v>904.39199999999994</v>
      </c>
      <c r="P45" s="25">
        <f t="shared" si="14"/>
        <v>904.39199999999994</v>
      </c>
      <c r="Q45" s="25">
        <f t="shared" si="14"/>
        <v>904.39199999999994</v>
      </c>
      <c r="R45" t="s">
        <v>101</v>
      </c>
    </row>
    <row r="46" spans="1:18" ht="15.75" customHeight="1" x14ac:dyDescent="0.2">
      <c r="A46" s="23"/>
      <c r="B46" s="6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</row>
    <row r="47" spans="1:18" ht="15.75" customHeight="1" x14ac:dyDescent="0.2">
      <c r="A47" s="21" t="s">
        <v>46</v>
      </c>
      <c r="B47" s="22" t="s">
        <v>3</v>
      </c>
      <c r="C47" s="177">
        <v>2027</v>
      </c>
      <c r="D47" s="22">
        <v>2028</v>
      </c>
      <c r="E47" s="22">
        <v>2029</v>
      </c>
      <c r="F47" s="22">
        <v>2030</v>
      </c>
      <c r="G47" s="22">
        <v>2031</v>
      </c>
      <c r="H47" s="22">
        <v>2032</v>
      </c>
      <c r="I47" s="22">
        <v>2033</v>
      </c>
      <c r="J47" s="22">
        <v>2034</v>
      </c>
      <c r="K47" s="22">
        <v>2035</v>
      </c>
      <c r="L47" s="22">
        <v>2036</v>
      </c>
      <c r="M47" s="22">
        <v>2037</v>
      </c>
      <c r="N47" s="22">
        <v>2038</v>
      </c>
      <c r="O47" s="22">
        <v>2039</v>
      </c>
      <c r="P47" s="22">
        <v>2040</v>
      </c>
      <c r="Q47" s="22">
        <v>2041</v>
      </c>
    </row>
    <row r="48" spans="1:18" ht="16.5" customHeight="1" x14ac:dyDescent="0.2">
      <c r="A48" s="23"/>
      <c r="B48" s="6" t="s">
        <v>10</v>
      </c>
      <c r="C48" s="25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8" ht="16.5" customHeight="1" x14ac:dyDescent="0.2">
      <c r="A49" s="23" t="s">
        <v>11</v>
      </c>
      <c r="B49" s="6" t="s">
        <v>12</v>
      </c>
      <c r="C49" s="25">
        <f>'Исходные данные'!$X$4</f>
        <v>710</v>
      </c>
      <c r="D49" s="25">
        <f>'Исходные данные'!$X$4</f>
        <v>710</v>
      </c>
      <c r="E49" s="25">
        <f>'Исходные данные'!$X$4</f>
        <v>710</v>
      </c>
      <c r="F49" s="25">
        <f>'Исходные данные'!$X$4</f>
        <v>710</v>
      </c>
      <c r="G49" s="25">
        <f>'Исходные данные'!$X$4</f>
        <v>710</v>
      </c>
      <c r="H49" s="25">
        <f>'Исходные данные'!$X$4</f>
        <v>710</v>
      </c>
      <c r="I49" s="25">
        <f>'Исходные данные'!$X$4</f>
        <v>710</v>
      </c>
      <c r="J49" s="25">
        <f>'Исходные данные'!$X$4</f>
        <v>710</v>
      </c>
      <c r="K49" s="25">
        <f>'Исходные данные'!$X$4</f>
        <v>710</v>
      </c>
      <c r="L49" s="25">
        <f>'Исходные данные'!$X$4</f>
        <v>710</v>
      </c>
      <c r="M49" s="25">
        <f>'Исходные данные'!$X$4</f>
        <v>710</v>
      </c>
      <c r="N49" s="25">
        <f>'Исходные данные'!$X$4</f>
        <v>710</v>
      </c>
      <c r="O49" s="25">
        <f>'Исходные данные'!$X$4</f>
        <v>710</v>
      </c>
      <c r="P49" s="25">
        <f>'Исходные данные'!$X$4</f>
        <v>710</v>
      </c>
      <c r="Q49" s="25">
        <f>'Исходные данные'!$X$4</f>
        <v>710</v>
      </c>
    </row>
    <row r="50" spans="1:18" ht="16.5" customHeight="1" x14ac:dyDescent="0.2">
      <c r="A50" s="23" t="s">
        <v>11</v>
      </c>
      <c r="B50" s="6" t="s">
        <v>13</v>
      </c>
      <c r="C50" s="25">
        <f t="shared" ref="C50:Q50" si="15">C49*4.1868</f>
        <v>2972.6279999999997</v>
      </c>
      <c r="D50" s="25">
        <f t="shared" si="15"/>
        <v>2972.6279999999997</v>
      </c>
      <c r="E50" s="25">
        <f t="shared" si="15"/>
        <v>2972.6279999999997</v>
      </c>
      <c r="F50" s="25">
        <f t="shared" si="15"/>
        <v>2972.6279999999997</v>
      </c>
      <c r="G50" s="25">
        <f t="shared" si="15"/>
        <v>2972.6279999999997</v>
      </c>
      <c r="H50" s="25">
        <f t="shared" si="15"/>
        <v>2972.6279999999997</v>
      </c>
      <c r="I50" s="25">
        <f t="shared" si="15"/>
        <v>2972.6279999999997</v>
      </c>
      <c r="J50" s="25">
        <f t="shared" si="15"/>
        <v>2972.6279999999997</v>
      </c>
      <c r="K50" s="25">
        <f t="shared" si="15"/>
        <v>2972.6279999999997</v>
      </c>
      <c r="L50" s="25">
        <f t="shared" si="15"/>
        <v>2972.6279999999997</v>
      </c>
      <c r="M50" s="25">
        <f t="shared" si="15"/>
        <v>2972.6279999999997</v>
      </c>
      <c r="N50" s="25">
        <f t="shared" si="15"/>
        <v>2972.6279999999997</v>
      </c>
      <c r="O50" s="25">
        <f t="shared" si="15"/>
        <v>2972.6279999999997</v>
      </c>
      <c r="P50" s="25">
        <f t="shared" si="15"/>
        <v>2972.6279999999997</v>
      </c>
      <c r="Q50" s="25">
        <f t="shared" si="15"/>
        <v>2972.6279999999997</v>
      </c>
    </row>
    <row r="51" spans="1:18" ht="15.75" customHeight="1" x14ac:dyDescent="0.2">
      <c r="A51" s="23"/>
      <c r="B51" s="6"/>
      <c r="C51" s="25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8" ht="16.5" customHeight="1" x14ac:dyDescent="0.2">
      <c r="A52" s="69" t="s">
        <v>14</v>
      </c>
      <c r="B52" s="6"/>
      <c r="C52" s="25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8" ht="51" customHeight="1" x14ac:dyDescent="0.2">
      <c r="A53" s="23" t="s">
        <v>15</v>
      </c>
      <c r="B53" s="6" t="s">
        <v>16</v>
      </c>
      <c r="C53" s="25">
        <f>'Котельные проект макс КПД котло'!G35</f>
        <v>50.1</v>
      </c>
      <c r="D53" s="25">
        <f>'Котельные проект макс КПД котло'!H35</f>
        <v>50.1</v>
      </c>
      <c r="E53" s="25">
        <f>'Котельные проект макс КПД котло'!I35</f>
        <v>50.1</v>
      </c>
      <c r="F53" s="25">
        <f>'Котельные проект макс КПД котло'!J35</f>
        <v>50.1</v>
      </c>
      <c r="G53" s="25">
        <f>'Котельные проект макс КПД котло'!K35</f>
        <v>50.1</v>
      </c>
      <c r="H53" s="25">
        <f>'Котельные проект макс КПД котло'!L35</f>
        <v>50.1</v>
      </c>
      <c r="I53" s="25">
        <f>'Котельные проект макс КПД котло'!M35</f>
        <v>50.1</v>
      </c>
      <c r="J53" s="25">
        <f>'Котельные проект макс КПД котло'!N35</f>
        <v>50.1</v>
      </c>
      <c r="K53" s="25">
        <f>'Котельные проект макс КПД котло'!O35</f>
        <v>50.1</v>
      </c>
      <c r="L53" s="25">
        <f>'Котельные проект макс КПД котло'!P35</f>
        <v>50.1</v>
      </c>
      <c r="M53" s="25">
        <f>'Котельные проект макс КПД котло'!Q35</f>
        <v>85</v>
      </c>
      <c r="N53" s="25">
        <f>'Котельные проект макс КПД котло'!R35</f>
        <v>85</v>
      </c>
      <c r="O53" s="25">
        <f>'Котельные проект макс КПД котло'!S35</f>
        <v>85</v>
      </c>
      <c r="P53" s="25">
        <f>'Котельные проект макс КПД котло'!T35</f>
        <v>85</v>
      </c>
      <c r="Q53" s="25">
        <f>'Котельные проект макс КПД котло'!U35</f>
        <v>85</v>
      </c>
    </row>
    <row r="54" spans="1:18" ht="16.5" customHeight="1" x14ac:dyDescent="0.2">
      <c r="A54" s="23" t="s">
        <v>17</v>
      </c>
      <c r="B54" s="6" t="s">
        <v>13</v>
      </c>
      <c r="C54" s="25">
        <f t="shared" ref="C54:Q54" si="16">C50/(C53/100)</f>
        <v>5933.3892215568858</v>
      </c>
      <c r="D54" s="25">
        <f t="shared" si="16"/>
        <v>5933.3892215568858</v>
      </c>
      <c r="E54" s="25">
        <f t="shared" si="16"/>
        <v>5933.3892215568858</v>
      </c>
      <c r="F54" s="25">
        <f t="shared" si="16"/>
        <v>5933.3892215568858</v>
      </c>
      <c r="G54" s="25">
        <f t="shared" si="16"/>
        <v>5933.3892215568858</v>
      </c>
      <c r="H54" s="25">
        <f t="shared" si="16"/>
        <v>5933.3892215568858</v>
      </c>
      <c r="I54" s="25">
        <f t="shared" si="16"/>
        <v>5933.3892215568858</v>
      </c>
      <c r="J54" s="25">
        <f t="shared" si="16"/>
        <v>5933.3892215568858</v>
      </c>
      <c r="K54" s="25">
        <f t="shared" si="16"/>
        <v>5933.3892215568858</v>
      </c>
      <c r="L54" s="25">
        <f t="shared" si="16"/>
        <v>5933.3892215568858</v>
      </c>
      <c r="M54" s="25">
        <f t="shared" si="16"/>
        <v>3497.2094117647057</v>
      </c>
      <c r="N54" s="25">
        <f t="shared" si="16"/>
        <v>3497.2094117647057</v>
      </c>
      <c r="O54" s="25">
        <f t="shared" si="16"/>
        <v>3497.2094117647057</v>
      </c>
      <c r="P54" s="25">
        <f t="shared" si="16"/>
        <v>3497.2094117647057</v>
      </c>
      <c r="Q54" s="25">
        <f t="shared" si="16"/>
        <v>3497.2094117647057</v>
      </c>
    </row>
    <row r="55" spans="1:18" ht="16.5" customHeight="1" x14ac:dyDescent="0.2">
      <c r="A55" s="23" t="s">
        <v>40</v>
      </c>
      <c r="B55" s="6" t="s">
        <v>41</v>
      </c>
      <c r="C55" s="25">
        <f t="shared" ref="C55:Q55" si="17">94.6/1000</f>
        <v>9.459999999999999E-2</v>
      </c>
      <c r="D55" s="29">
        <f t="shared" si="17"/>
        <v>9.459999999999999E-2</v>
      </c>
      <c r="E55" s="29">
        <f t="shared" si="17"/>
        <v>9.459999999999999E-2</v>
      </c>
      <c r="F55" s="29">
        <f t="shared" si="17"/>
        <v>9.459999999999999E-2</v>
      </c>
      <c r="G55" s="29">
        <f t="shared" si="17"/>
        <v>9.459999999999999E-2</v>
      </c>
      <c r="H55" s="29">
        <f t="shared" si="17"/>
        <v>9.459999999999999E-2</v>
      </c>
      <c r="I55" s="29">
        <f t="shared" si="17"/>
        <v>9.459999999999999E-2</v>
      </c>
      <c r="J55" s="29">
        <f t="shared" si="17"/>
        <v>9.459999999999999E-2</v>
      </c>
      <c r="K55" s="29">
        <f t="shared" si="17"/>
        <v>9.459999999999999E-2</v>
      </c>
      <c r="L55" s="29">
        <f t="shared" si="17"/>
        <v>9.459999999999999E-2</v>
      </c>
      <c r="M55" s="29">
        <f t="shared" si="17"/>
        <v>9.459999999999999E-2</v>
      </c>
      <c r="N55" s="29">
        <f t="shared" si="17"/>
        <v>9.459999999999999E-2</v>
      </c>
      <c r="O55" s="29">
        <f t="shared" si="17"/>
        <v>9.459999999999999E-2</v>
      </c>
      <c r="P55" s="29">
        <f t="shared" si="17"/>
        <v>9.459999999999999E-2</v>
      </c>
      <c r="Q55" s="29">
        <f t="shared" si="17"/>
        <v>9.459999999999999E-2</v>
      </c>
      <c r="R55" t="s">
        <v>23</v>
      </c>
    </row>
    <row r="56" spans="1:18" ht="15.75" customHeight="1" x14ac:dyDescent="0.2">
      <c r="A56" s="23"/>
      <c r="B56" s="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8" ht="16.5" customHeight="1" x14ac:dyDescent="0.2">
      <c r="A57" s="23" t="s">
        <v>83</v>
      </c>
      <c r="B57" s="6" t="s">
        <v>4</v>
      </c>
      <c r="C57" s="25">
        <f t="shared" ref="C57:Q57" si="18">ROUND(C55*C54,0)</f>
        <v>561</v>
      </c>
      <c r="D57" s="25">
        <f t="shared" si="18"/>
        <v>561</v>
      </c>
      <c r="E57" s="25">
        <f t="shared" si="18"/>
        <v>561</v>
      </c>
      <c r="F57" s="25">
        <f t="shared" si="18"/>
        <v>561</v>
      </c>
      <c r="G57" s="25">
        <f t="shared" si="18"/>
        <v>561</v>
      </c>
      <c r="H57" s="25">
        <f t="shared" si="18"/>
        <v>561</v>
      </c>
      <c r="I57" s="25">
        <f t="shared" si="18"/>
        <v>561</v>
      </c>
      <c r="J57" s="25">
        <f t="shared" si="18"/>
        <v>561</v>
      </c>
      <c r="K57" s="25">
        <f t="shared" si="18"/>
        <v>561</v>
      </c>
      <c r="L57" s="25">
        <f t="shared" si="18"/>
        <v>561</v>
      </c>
      <c r="M57" s="25">
        <f t="shared" si="18"/>
        <v>331</v>
      </c>
      <c r="N57" s="25">
        <f t="shared" si="18"/>
        <v>331</v>
      </c>
      <c r="O57" s="25">
        <f t="shared" si="18"/>
        <v>331</v>
      </c>
      <c r="P57" s="25">
        <f t="shared" si="18"/>
        <v>331</v>
      </c>
      <c r="Q57" s="25">
        <f t="shared" si="18"/>
        <v>331</v>
      </c>
    </row>
    <row r="58" spans="1:18" ht="16.5" customHeight="1" x14ac:dyDescent="0.2">
      <c r="A58" s="23" t="s">
        <v>97</v>
      </c>
      <c r="B58" s="6" t="s">
        <v>4</v>
      </c>
      <c r="C58" s="25">
        <f>(C57*(1-Неопределенность!$V$12))</f>
        <v>531.82799999999997</v>
      </c>
      <c r="D58" s="25">
        <f>(D57*(1-Неопределенность!$V$12))</f>
        <v>531.82799999999997</v>
      </c>
      <c r="E58" s="25">
        <f>(E57*(1-Неопределенность!$V$12))</f>
        <v>531.82799999999997</v>
      </c>
      <c r="F58" s="25">
        <f>(F57*(1-Неопределенность!$V$12))</f>
        <v>531.82799999999997</v>
      </c>
      <c r="G58" s="25">
        <f>(G57*(1-Неопределенность!$V$12))</f>
        <v>531.82799999999997</v>
      </c>
      <c r="H58" s="25">
        <f>(H57*(1-Неопределенность!$V$12))</f>
        <v>531.82799999999997</v>
      </c>
      <c r="I58" s="25">
        <f>(I57*(1-Неопределенность!$V$12))</f>
        <v>531.82799999999997</v>
      </c>
      <c r="J58" s="25">
        <f>(J57*(1-Неопределенность!$V$12))</f>
        <v>531.82799999999997</v>
      </c>
      <c r="K58" s="25">
        <f>(K57*(1-Неопределенность!$V$12))</f>
        <v>531.82799999999997</v>
      </c>
      <c r="L58" s="25">
        <f>(L57*(1-Неопределенность!$V$12))</f>
        <v>531.82799999999997</v>
      </c>
      <c r="M58" s="25">
        <f>(M57*(1-Неопределенность!$V$12))</f>
        <v>313.78800000000001</v>
      </c>
      <c r="N58" s="25">
        <f>(N57*(1-Неопределенность!$V$12))</f>
        <v>313.78800000000001</v>
      </c>
      <c r="O58" s="25">
        <f>(O57*(1-Неопределенность!$V$12))</f>
        <v>313.78800000000001</v>
      </c>
      <c r="P58" s="25">
        <f>(P57*(1-Неопределенность!$V$12))</f>
        <v>313.78800000000001</v>
      </c>
      <c r="Q58" s="25">
        <f>(Q57*(1-Неопределенность!$V$12))</f>
        <v>313.78800000000001</v>
      </c>
      <c r="R58" t="s">
        <v>98</v>
      </c>
    </row>
    <row r="59" spans="1:18" ht="16.5" customHeight="1" x14ac:dyDescent="0.2">
      <c r="A59" s="23" t="s">
        <v>99</v>
      </c>
      <c r="B59" s="6" t="s">
        <v>4</v>
      </c>
      <c r="C59" s="25">
        <f>(C57-(C57-'Расчетная модель ПС '!C96)*0.05)</f>
        <v>542.04999999999995</v>
      </c>
      <c r="D59" s="25">
        <f>(D57-(D57-'Расчетная модель ПС '!D96)*0.05)</f>
        <v>542.04999999999995</v>
      </c>
      <c r="E59" s="25">
        <f>(E57-(E57-'Расчетная модель ПС '!E96)*0.05)</f>
        <v>542.04999999999995</v>
      </c>
      <c r="F59" s="25">
        <f>(F57-(F57-'Расчетная модель ПС '!F96)*0.05)</f>
        <v>542.04999999999995</v>
      </c>
      <c r="G59" s="25">
        <f>(G57-(G57-'Расчетная модель ПС '!G96)*0.05)</f>
        <v>542.04999999999995</v>
      </c>
      <c r="H59" s="25">
        <f>(H57-(H57-'Расчетная модель ПС '!H96)*0.05)</f>
        <v>542.04999999999995</v>
      </c>
      <c r="I59" s="25">
        <f>(I57-(I57-'Расчетная модель ПС '!I96)*0.05)</f>
        <v>542.04999999999995</v>
      </c>
      <c r="J59" s="25">
        <f>(J57-(J57-'Расчетная модель ПС '!J96)*0.05)</f>
        <v>542.04999999999995</v>
      </c>
      <c r="K59" s="25">
        <f>(K57-(K57-'Расчетная модель ПС '!K96)*0.05)</f>
        <v>542.04999999999995</v>
      </c>
      <c r="L59" s="25">
        <f>(L57-(L57-'Расчетная модель ПС '!L96)*0.05)</f>
        <v>542.04999999999995</v>
      </c>
      <c r="M59" s="25">
        <f>(M57-(M57-'Расчетная модель ПС '!M96)*0.05)</f>
        <v>323.55</v>
      </c>
      <c r="N59" s="25">
        <f>(N57-(N57-'Расчетная модель ПС '!N96)*0.05)</f>
        <v>323.55</v>
      </c>
      <c r="O59" s="25">
        <f>(O57-(O57-'Расчетная модель ПС '!O96)*0.05)</f>
        <v>323.55</v>
      </c>
      <c r="P59" s="25">
        <f>(P57-(P57-'Расчетная модель ПС '!P96)*0.05)</f>
        <v>323.55</v>
      </c>
      <c r="Q59" s="25">
        <f>(Q57-(Q57-'Расчетная модель ПС '!Q96)*0.05)</f>
        <v>323.55</v>
      </c>
      <c r="R59" t="s">
        <v>100</v>
      </c>
    </row>
    <row r="60" spans="1:18" ht="33.75" customHeight="1" x14ac:dyDescent="0.2">
      <c r="A60" s="23" t="s">
        <v>91</v>
      </c>
      <c r="B60" s="6" t="s">
        <v>4</v>
      </c>
      <c r="C60" s="25">
        <f t="shared" ref="C60:Q60" si="19">MIN(C58:C59)</f>
        <v>531.82799999999997</v>
      </c>
      <c r="D60" s="25">
        <f t="shared" si="19"/>
        <v>531.82799999999997</v>
      </c>
      <c r="E60" s="25">
        <f t="shared" si="19"/>
        <v>531.82799999999997</v>
      </c>
      <c r="F60" s="25">
        <f t="shared" si="19"/>
        <v>531.82799999999997</v>
      </c>
      <c r="G60" s="25">
        <f t="shared" si="19"/>
        <v>531.82799999999997</v>
      </c>
      <c r="H60" s="25">
        <f t="shared" si="19"/>
        <v>531.82799999999997</v>
      </c>
      <c r="I60" s="25">
        <f t="shared" si="19"/>
        <v>531.82799999999997</v>
      </c>
      <c r="J60" s="25">
        <f t="shared" si="19"/>
        <v>531.82799999999997</v>
      </c>
      <c r="K60" s="25">
        <f t="shared" si="19"/>
        <v>531.82799999999997</v>
      </c>
      <c r="L60" s="25">
        <f t="shared" si="19"/>
        <v>531.82799999999997</v>
      </c>
      <c r="M60" s="25">
        <f t="shared" si="19"/>
        <v>313.78800000000001</v>
      </c>
      <c r="N60" s="25">
        <f t="shared" si="19"/>
        <v>313.78800000000001</v>
      </c>
      <c r="O60" s="25">
        <f t="shared" si="19"/>
        <v>313.78800000000001</v>
      </c>
      <c r="P60" s="25">
        <f t="shared" si="19"/>
        <v>313.78800000000001</v>
      </c>
      <c r="Q60" s="25">
        <f t="shared" si="19"/>
        <v>313.78800000000001</v>
      </c>
      <c r="R60" t="s">
        <v>101</v>
      </c>
    </row>
    <row r="62" spans="1:18" ht="16.5" customHeight="1" x14ac:dyDescent="0.2">
      <c r="A62" s="54" t="s">
        <v>93</v>
      </c>
      <c r="B62" s="55" t="s">
        <v>4</v>
      </c>
      <c r="C62" s="78">
        <f t="shared" ref="C62:Q62" si="20">ROUND(SUM(C12,C27,C42,C57),0)</f>
        <v>4923</v>
      </c>
      <c r="D62" s="78">
        <f t="shared" si="20"/>
        <v>4923</v>
      </c>
      <c r="E62" s="78">
        <f t="shared" si="20"/>
        <v>4595</v>
      </c>
      <c r="F62" s="78">
        <f t="shared" si="20"/>
        <v>4392</v>
      </c>
      <c r="G62" s="78">
        <f t="shared" si="20"/>
        <v>4392</v>
      </c>
      <c r="H62" s="78">
        <f t="shared" si="20"/>
        <v>4392</v>
      </c>
      <c r="I62" s="78">
        <f t="shared" si="20"/>
        <v>4392</v>
      </c>
      <c r="J62" s="78">
        <f t="shared" si="20"/>
        <v>4392</v>
      </c>
      <c r="K62" s="78">
        <f t="shared" si="20"/>
        <v>4392</v>
      </c>
      <c r="L62" s="78">
        <f t="shared" si="20"/>
        <v>4392</v>
      </c>
      <c r="M62" s="78">
        <f t="shared" si="20"/>
        <v>3806</v>
      </c>
      <c r="N62" s="78">
        <f t="shared" si="20"/>
        <v>3581</v>
      </c>
      <c r="O62" s="78">
        <f t="shared" si="20"/>
        <v>3581</v>
      </c>
      <c r="P62" s="78">
        <f t="shared" si="20"/>
        <v>3581</v>
      </c>
      <c r="Q62" s="78">
        <f t="shared" si="20"/>
        <v>3581</v>
      </c>
    </row>
    <row r="63" spans="1:18" ht="16.5" customHeight="1" x14ac:dyDescent="0.2">
      <c r="A63" s="54" t="s">
        <v>102</v>
      </c>
      <c r="B63" s="55" t="s">
        <v>4</v>
      </c>
      <c r="C63" s="78">
        <f t="shared" ref="C63:Q63" si="21">ROUND(SUM(C13,C28,C43,C58),0)</f>
        <v>4667</v>
      </c>
      <c r="D63" s="78">
        <f t="shared" si="21"/>
        <v>4667</v>
      </c>
      <c r="E63" s="78">
        <f t="shared" si="21"/>
        <v>4356</v>
      </c>
      <c r="F63" s="78">
        <f t="shared" si="21"/>
        <v>4164</v>
      </c>
      <c r="G63" s="78">
        <f t="shared" si="21"/>
        <v>4164</v>
      </c>
      <c r="H63" s="78">
        <f t="shared" si="21"/>
        <v>4164</v>
      </c>
      <c r="I63" s="78">
        <f t="shared" si="21"/>
        <v>4164</v>
      </c>
      <c r="J63" s="78">
        <f t="shared" si="21"/>
        <v>4164</v>
      </c>
      <c r="K63" s="78">
        <f t="shared" si="21"/>
        <v>4164</v>
      </c>
      <c r="L63" s="78">
        <f t="shared" si="21"/>
        <v>4164</v>
      </c>
      <c r="M63" s="78">
        <f t="shared" si="21"/>
        <v>3608</v>
      </c>
      <c r="N63" s="78">
        <f t="shared" si="21"/>
        <v>3395</v>
      </c>
      <c r="O63" s="78">
        <f t="shared" si="21"/>
        <v>3395</v>
      </c>
      <c r="P63" s="78">
        <f t="shared" si="21"/>
        <v>3395</v>
      </c>
      <c r="Q63" s="78">
        <f t="shared" si="21"/>
        <v>3395</v>
      </c>
      <c r="R63" s="80" t="s">
        <v>98</v>
      </c>
    </row>
    <row r="64" spans="1:18" ht="16.5" customHeight="1" x14ac:dyDescent="0.2">
      <c r="A64" s="54" t="s">
        <v>103</v>
      </c>
      <c r="B64" s="55" t="s">
        <v>4</v>
      </c>
      <c r="C64" s="78">
        <f t="shared" ref="C64:Q64" si="22">ROUND(SUM(C14,C29,C44,C59),0)</f>
        <v>4781</v>
      </c>
      <c r="D64" s="78">
        <f t="shared" si="22"/>
        <v>4781</v>
      </c>
      <c r="E64" s="78">
        <f t="shared" si="22"/>
        <v>4469</v>
      </c>
      <c r="F64" s="78">
        <f t="shared" si="22"/>
        <v>4276</v>
      </c>
      <c r="G64" s="78">
        <f t="shared" si="22"/>
        <v>4276</v>
      </c>
      <c r="H64" s="78">
        <f t="shared" si="22"/>
        <v>4276</v>
      </c>
      <c r="I64" s="78">
        <f t="shared" si="22"/>
        <v>4276</v>
      </c>
      <c r="J64" s="78">
        <f t="shared" si="22"/>
        <v>4276</v>
      </c>
      <c r="K64" s="78">
        <f t="shared" si="22"/>
        <v>4276</v>
      </c>
      <c r="L64" s="78">
        <f t="shared" si="22"/>
        <v>4276</v>
      </c>
      <c r="M64" s="78">
        <f t="shared" si="22"/>
        <v>3720</v>
      </c>
      <c r="N64" s="78">
        <f t="shared" si="22"/>
        <v>3506</v>
      </c>
      <c r="O64" s="78">
        <f t="shared" si="22"/>
        <v>3506</v>
      </c>
      <c r="P64" s="78">
        <f t="shared" si="22"/>
        <v>3506</v>
      </c>
      <c r="Q64" s="78">
        <f t="shared" si="22"/>
        <v>3506</v>
      </c>
      <c r="R64" s="80" t="s">
        <v>100</v>
      </c>
    </row>
    <row r="65" spans="1:18" ht="33.75" customHeight="1" x14ac:dyDescent="0.2">
      <c r="A65" s="54" t="s">
        <v>104</v>
      </c>
      <c r="B65" s="55" t="s">
        <v>4</v>
      </c>
      <c r="C65" s="78">
        <f>MIN(C63:C64)</f>
        <v>4667</v>
      </c>
      <c r="D65" s="78">
        <f t="shared" ref="D65:Q65" si="23">MIN(D63:D64)</f>
        <v>4667</v>
      </c>
      <c r="E65" s="78">
        <f t="shared" si="23"/>
        <v>4356</v>
      </c>
      <c r="F65" s="78">
        <f t="shared" si="23"/>
        <v>4164</v>
      </c>
      <c r="G65" s="78">
        <f t="shared" si="23"/>
        <v>4164</v>
      </c>
      <c r="H65" s="78">
        <f t="shared" si="23"/>
        <v>4164</v>
      </c>
      <c r="I65" s="78">
        <f t="shared" si="23"/>
        <v>4164</v>
      </c>
      <c r="J65" s="78">
        <f t="shared" si="23"/>
        <v>4164</v>
      </c>
      <c r="K65" s="78">
        <f t="shared" si="23"/>
        <v>4164</v>
      </c>
      <c r="L65" s="78">
        <f t="shared" si="23"/>
        <v>4164</v>
      </c>
      <c r="M65" s="78">
        <f t="shared" si="23"/>
        <v>3608</v>
      </c>
      <c r="N65" s="78">
        <f t="shared" si="23"/>
        <v>3395</v>
      </c>
      <c r="O65" s="78">
        <f t="shared" si="23"/>
        <v>3395</v>
      </c>
      <c r="P65" s="78">
        <f t="shared" si="23"/>
        <v>3395</v>
      </c>
      <c r="Q65" s="78">
        <f t="shared" si="23"/>
        <v>3395</v>
      </c>
      <c r="R65" s="80" t="s">
        <v>101</v>
      </c>
    </row>
    <row r="70" spans="1:18" ht="15.75" customHeight="1" x14ac:dyDescent="0.2"/>
    <row r="72" spans="1:18" x14ac:dyDescent="0.2">
      <c r="A72" s="79"/>
    </row>
    <row r="73" spans="1:18" x14ac:dyDescent="0.2"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</row>
    <row r="74" spans="1:18" x14ac:dyDescent="0.2"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</row>
    <row r="75" spans="1:18" x14ac:dyDescent="0.2"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</row>
    <row r="76" spans="1:18" x14ac:dyDescent="0.2"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</row>
    <row r="77" spans="1:18" x14ac:dyDescent="0.2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x14ac:dyDescent="0.2"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x14ac:dyDescent="0.2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9"/>
  <sheetViews>
    <sheetView zoomScale="78" zoomScaleNormal="78" workbookViewId="0">
      <selection activeCell="G32" sqref="G32"/>
    </sheetView>
  </sheetViews>
  <sheetFormatPr baseColWidth="10" defaultColWidth="8.83203125" defaultRowHeight="16" x14ac:dyDescent="0.2"/>
  <cols>
    <col min="1" max="1" width="29.83203125" customWidth="1"/>
    <col min="2" max="3" width="23" customWidth="1"/>
    <col min="4" max="5" width="15" customWidth="1"/>
    <col min="6" max="6" width="18.1640625" customWidth="1"/>
    <col min="7" max="7" width="14.5" customWidth="1"/>
    <col min="8" max="8" width="7.1640625" customWidth="1"/>
    <col min="9" max="15" width="7" customWidth="1"/>
    <col min="16" max="16" width="25.1640625" customWidth="1"/>
    <col min="17" max="21" width="7" customWidth="1"/>
  </cols>
  <sheetData>
    <row r="1" spans="1:9" s="7" customFormat="1" ht="33.75" customHeight="1" x14ac:dyDescent="0.2">
      <c r="A1" s="5" t="s">
        <v>105</v>
      </c>
      <c r="B1" s="5" t="s">
        <v>106</v>
      </c>
      <c r="C1" s="5" t="s">
        <v>107</v>
      </c>
      <c r="D1" s="183" t="s">
        <v>108</v>
      </c>
      <c r="E1" s="183"/>
      <c r="F1" s="183"/>
      <c r="G1" s="81" t="s">
        <v>65</v>
      </c>
      <c r="H1" s="24" t="s">
        <v>109</v>
      </c>
    </row>
    <row r="2" spans="1:9" ht="15.75" customHeight="1" x14ac:dyDescent="0.2">
      <c r="A2" s="5"/>
      <c r="B2" s="82"/>
      <c r="C2" s="82"/>
      <c r="D2" s="82" t="s">
        <v>110</v>
      </c>
      <c r="E2" s="82" t="s">
        <v>111</v>
      </c>
      <c r="F2" s="82" t="s">
        <v>112</v>
      </c>
      <c r="G2" s="82"/>
      <c r="H2" s="24"/>
      <c r="I2" s="83"/>
    </row>
    <row r="3" spans="1:9" ht="15.75" customHeight="1" x14ac:dyDescent="0.2">
      <c r="A3" s="180" t="s">
        <v>113</v>
      </c>
      <c r="B3" s="65" t="s">
        <v>114</v>
      </c>
      <c r="C3" s="24">
        <v>0.63</v>
      </c>
      <c r="D3" s="24">
        <v>54.4</v>
      </c>
      <c r="E3" s="24">
        <v>57.1</v>
      </c>
      <c r="F3" s="24">
        <v>57.8</v>
      </c>
      <c r="G3" s="84">
        <f>SUMPRODUCT(F20:F24,E20:E24)/SUM(E20:E24)</f>
        <v>46.23544494720965</v>
      </c>
      <c r="H3" s="3">
        <v>215059</v>
      </c>
    </row>
    <row r="4" spans="1:9" ht="15.75" customHeight="1" x14ac:dyDescent="0.2">
      <c r="A4" s="180"/>
      <c r="B4" s="65" t="s">
        <v>114</v>
      </c>
      <c r="C4" s="24">
        <v>0.63</v>
      </c>
      <c r="D4" s="24">
        <v>54.4</v>
      </c>
      <c r="E4" s="24">
        <v>57.1</v>
      </c>
      <c r="F4" s="24">
        <v>57.8</v>
      </c>
      <c r="G4" s="85"/>
      <c r="H4" s="3">
        <v>239</v>
      </c>
    </row>
    <row r="5" spans="1:9" ht="16.5" customHeight="1" x14ac:dyDescent="0.2">
      <c r="A5" s="180"/>
      <c r="B5" s="86" t="s">
        <v>115</v>
      </c>
      <c r="C5" s="6">
        <v>1.1599999999999999</v>
      </c>
      <c r="D5" s="6">
        <v>55.8</v>
      </c>
      <c r="E5" s="6">
        <v>56</v>
      </c>
      <c r="F5" s="6">
        <v>56.1</v>
      </c>
      <c r="G5" s="85"/>
      <c r="H5" s="87" t="s">
        <v>116</v>
      </c>
    </row>
    <row r="6" spans="1:9" ht="16.5" customHeight="1" x14ac:dyDescent="0.2">
      <c r="A6" s="180"/>
      <c r="B6" s="86" t="s">
        <v>117</v>
      </c>
      <c r="C6" s="6">
        <v>1</v>
      </c>
      <c r="D6" s="6">
        <v>38.9</v>
      </c>
      <c r="E6" s="6">
        <v>39.799999999999997</v>
      </c>
      <c r="F6" s="6">
        <v>40.1</v>
      </c>
      <c r="G6" s="85"/>
      <c r="H6" s="3">
        <v>307</v>
      </c>
    </row>
    <row r="7" spans="1:9" ht="16.5" customHeight="1" x14ac:dyDescent="0.2">
      <c r="A7" s="180"/>
      <c r="B7" s="86" t="s">
        <v>117</v>
      </c>
      <c r="C7" s="6">
        <v>1</v>
      </c>
      <c r="D7" s="6">
        <v>28</v>
      </c>
      <c r="E7" s="6">
        <v>29.3</v>
      </c>
      <c r="F7" s="6">
        <v>28.9</v>
      </c>
      <c r="G7" s="88"/>
      <c r="H7" s="3">
        <v>306</v>
      </c>
    </row>
    <row r="8" spans="1:9" ht="15.75" customHeight="1" x14ac:dyDescent="0.2">
      <c r="A8" s="184" t="s">
        <v>118</v>
      </c>
      <c r="B8" s="86"/>
      <c r="C8" s="6"/>
      <c r="D8" s="6"/>
      <c r="E8" s="6"/>
      <c r="F8" s="6"/>
      <c r="G8" s="84">
        <f>AVERAGE(D9:F9)</f>
        <v>39.766666666666673</v>
      </c>
      <c r="H8" s="24"/>
    </row>
    <row r="9" spans="1:9" ht="16.5" customHeight="1" x14ac:dyDescent="0.2">
      <c r="A9" s="184"/>
      <c r="B9" s="86" t="s">
        <v>119</v>
      </c>
      <c r="C9" s="6">
        <v>0.63</v>
      </c>
      <c r="D9" s="6">
        <v>38.5</v>
      </c>
      <c r="E9" s="6">
        <v>39.700000000000003</v>
      </c>
      <c r="F9" s="6">
        <v>41.1</v>
      </c>
      <c r="G9" s="88"/>
      <c r="H9" s="24">
        <v>316</v>
      </c>
    </row>
    <row r="10" spans="1:9" ht="16.5" customHeight="1" x14ac:dyDescent="0.2">
      <c r="A10" s="184" t="s">
        <v>120</v>
      </c>
      <c r="B10" s="86" t="s">
        <v>121</v>
      </c>
      <c r="C10" s="6">
        <v>1</v>
      </c>
      <c r="D10" s="6">
        <v>63.8</v>
      </c>
      <c r="E10" s="6">
        <v>64.8</v>
      </c>
      <c r="F10" s="6">
        <v>65.5</v>
      </c>
      <c r="G10" s="84">
        <f>(AVERAGE(D10:F10)+AVERAGE(D11:F11))/2</f>
        <v>67.008333333333326</v>
      </c>
      <c r="H10" s="3">
        <v>1402</v>
      </c>
    </row>
    <row r="11" spans="1:9" ht="16.5" customHeight="1" x14ac:dyDescent="0.2">
      <c r="A11" s="184"/>
      <c r="B11" s="86" t="s">
        <v>121</v>
      </c>
      <c r="C11" s="6">
        <v>1</v>
      </c>
      <c r="D11" s="6">
        <v>66.650000000000006</v>
      </c>
      <c r="E11" s="6">
        <v>68.25</v>
      </c>
      <c r="F11" s="6">
        <v>73.05</v>
      </c>
      <c r="G11" s="88"/>
      <c r="H11" s="3">
        <v>2015</v>
      </c>
    </row>
    <row r="12" spans="1:9" ht="15.75" customHeight="1" x14ac:dyDescent="0.2">
      <c r="A12" s="184" t="s">
        <v>122</v>
      </c>
      <c r="B12" s="65" t="s">
        <v>123</v>
      </c>
      <c r="C12" s="6">
        <v>0.4</v>
      </c>
      <c r="D12" s="6">
        <v>49.6</v>
      </c>
      <c r="E12" s="6">
        <v>50.2</v>
      </c>
      <c r="F12" s="6">
        <v>50.6</v>
      </c>
      <c r="G12" s="89">
        <f>(AVERAGE(D12:F12)+AVERAGE(D13:F13))/2</f>
        <v>50.099999999999994</v>
      </c>
      <c r="H12" s="3">
        <v>237</v>
      </c>
    </row>
    <row r="13" spans="1:9" ht="15.75" customHeight="1" x14ac:dyDescent="0.2">
      <c r="A13" s="184"/>
      <c r="B13" s="65" t="s">
        <v>123</v>
      </c>
      <c r="C13" s="6">
        <v>0.4</v>
      </c>
      <c r="D13" s="6">
        <v>51.4</v>
      </c>
      <c r="E13" s="6">
        <v>50</v>
      </c>
      <c r="F13" s="6">
        <v>48.8</v>
      </c>
      <c r="G13" s="90"/>
      <c r="H13" s="3">
        <v>238</v>
      </c>
    </row>
    <row r="17" spans="1:21" ht="15.75" customHeight="1" x14ac:dyDescent="0.2">
      <c r="A17" t="s">
        <v>124</v>
      </c>
      <c r="E17" t="s">
        <v>125</v>
      </c>
    </row>
    <row r="18" spans="1:21" ht="33.75" customHeight="1" x14ac:dyDescent="0.2">
      <c r="A18" s="5" t="s">
        <v>105</v>
      </c>
      <c r="B18" s="82" t="s">
        <v>106</v>
      </c>
      <c r="C18" s="82" t="s">
        <v>126</v>
      </c>
      <c r="D18" s="5" t="s">
        <v>127</v>
      </c>
      <c r="E18" s="82" t="s">
        <v>107</v>
      </c>
      <c r="F18" s="5" t="s">
        <v>128</v>
      </c>
      <c r="G18" s="82">
        <v>2027</v>
      </c>
      <c r="H18" s="82">
        <v>2028</v>
      </c>
      <c r="I18" s="82">
        <v>2029</v>
      </c>
      <c r="J18" s="82">
        <v>2030</v>
      </c>
      <c r="K18" s="82">
        <v>2031</v>
      </c>
      <c r="L18" s="82">
        <v>2032</v>
      </c>
      <c r="M18" s="82">
        <v>2033</v>
      </c>
      <c r="N18" s="82">
        <v>2034</v>
      </c>
      <c r="O18" s="82">
        <v>2035</v>
      </c>
      <c r="P18" s="82">
        <v>2036</v>
      </c>
      <c r="Q18" s="82">
        <v>2037</v>
      </c>
      <c r="R18" s="82">
        <v>2038</v>
      </c>
      <c r="S18" s="82">
        <v>2039</v>
      </c>
      <c r="T18" s="82">
        <v>2040</v>
      </c>
      <c r="U18" s="82">
        <v>2041</v>
      </c>
    </row>
    <row r="19" spans="1:21" ht="16.5" customHeight="1" x14ac:dyDescent="0.2">
      <c r="A19" s="91"/>
      <c r="B19" s="92"/>
      <c r="C19" s="92"/>
      <c r="D19" s="20"/>
      <c r="E19" s="92"/>
      <c r="F19" s="92" t="s">
        <v>110</v>
      </c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</row>
    <row r="20" spans="1:21" ht="15.75" customHeight="1" x14ac:dyDescent="0.2">
      <c r="A20" s="182" t="s">
        <v>113</v>
      </c>
      <c r="B20" s="94" t="s">
        <v>114</v>
      </c>
      <c r="C20" s="94">
        <v>2022</v>
      </c>
      <c r="D20" s="94">
        <v>2038</v>
      </c>
      <c r="E20" s="94">
        <v>0.63</v>
      </c>
      <c r="F20" s="95">
        <f>AVERAGE(D3:F3)</f>
        <v>56.433333333333337</v>
      </c>
      <c r="G20" s="95">
        <f t="shared" ref="G20:Q20" si="0">$F20</f>
        <v>56.433333333333337</v>
      </c>
      <c r="H20" s="95">
        <f t="shared" si="0"/>
        <v>56.433333333333337</v>
      </c>
      <c r="I20" s="95">
        <f t="shared" si="0"/>
        <v>56.433333333333337</v>
      </c>
      <c r="J20" s="95">
        <f t="shared" si="0"/>
        <v>56.433333333333337</v>
      </c>
      <c r="K20" s="95">
        <f t="shared" si="0"/>
        <v>56.433333333333337</v>
      </c>
      <c r="L20" s="95">
        <f t="shared" si="0"/>
        <v>56.433333333333337</v>
      </c>
      <c r="M20" s="95">
        <f t="shared" si="0"/>
        <v>56.433333333333337</v>
      </c>
      <c r="N20" s="95">
        <f t="shared" si="0"/>
        <v>56.433333333333337</v>
      </c>
      <c r="O20" s="95">
        <f t="shared" si="0"/>
        <v>56.433333333333337</v>
      </c>
      <c r="P20" s="95">
        <f t="shared" si="0"/>
        <v>56.433333333333337</v>
      </c>
      <c r="Q20" s="95">
        <f t="shared" si="0"/>
        <v>56.433333333333337</v>
      </c>
      <c r="R20" s="25">
        <f t="shared" ref="R20:U25" si="1">$G$38</f>
        <v>83</v>
      </c>
      <c r="S20" s="25">
        <f t="shared" si="1"/>
        <v>83</v>
      </c>
      <c r="T20" s="25">
        <f t="shared" si="1"/>
        <v>83</v>
      </c>
      <c r="U20" s="25">
        <f t="shared" si="1"/>
        <v>83</v>
      </c>
    </row>
    <row r="21" spans="1:21" ht="15.75" customHeight="1" x14ac:dyDescent="0.2">
      <c r="A21" s="182"/>
      <c r="B21" s="24" t="s">
        <v>114</v>
      </c>
      <c r="C21" s="24">
        <v>2021</v>
      </c>
      <c r="D21" s="24">
        <v>2037</v>
      </c>
      <c r="E21" s="24">
        <v>0.63</v>
      </c>
      <c r="F21" s="25">
        <f>AVERAGE(D4:F4)</f>
        <v>56.433333333333337</v>
      </c>
      <c r="G21" s="96">
        <f t="shared" ref="G21:P22" si="2">$F21</f>
        <v>56.433333333333337</v>
      </c>
      <c r="H21" s="96">
        <f t="shared" si="2"/>
        <v>56.433333333333337</v>
      </c>
      <c r="I21" s="96">
        <f t="shared" si="2"/>
        <v>56.433333333333337</v>
      </c>
      <c r="J21" s="96">
        <f t="shared" si="2"/>
        <v>56.433333333333337</v>
      </c>
      <c r="K21" s="96">
        <f t="shared" si="2"/>
        <v>56.433333333333337</v>
      </c>
      <c r="L21" s="96">
        <f t="shared" si="2"/>
        <v>56.433333333333337</v>
      </c>
      <c r="M21" s="96">
        <f t="shared" si="2"/>
        <v>56.433333333333337</v>
      </c>
      <c r="N21" s="96">
        <f t="shared" si="2"/>
        <v>56.433333333333337</v>
      </c>
      <c r="O21" s="96">
        <f t="shared" si="2"/>
        <v>56.433333333333337</v>
      </c>
      <c r="P21" s="96">
        <f t="shared" si="2"/>
        <v>56.433333333333337</v>
      </c>
      <c r="Q21" s="25">
        <f>$G$38</f>
        <v>83</v>
      </c>
      <c r="R21" s="25">
        <f t="shared" si="1"/>
        <v>83</v>
      </c>
      <c r="S21" s="25">
        <f t="shared" si="1"/>
        <v>83</v>
      </c>
      <c r="T21" s="25">
        <f t="shared" si="1"/>
        <v>83</v>
      </c>
      <c r="U21" s="25">
        <f t="shared" si="1"/>
        <v>83</v>
      </c>
    </row>
    <row r="22" spans="1:21" ht="16.5" customHeight="1" x14ac:dyDescent="0.2">
      <c r="A22" s="182"/>
      <c r="B22" s="6" t="s">
        <v>115</v>
      </c>
      <c r="C22" s="24">
        <v>2021</v>
      </c>
      <c r="D22" s="24">
        <v>2037</v>
      </c>
      <c r="E22" s="6">
        <v>1.1599999999999999</v>
      </c>
      <c r="F22" s="25">
        <f>AVERAGE(D5:F5)</f>
        <v>55.966666666666669</v>
      </c>
      <c r="G22" s="96">
        <f t="shared" si="2"/>
        <v>55.966666666666669</v>
      </c>
      <c r="H22" s="96">
        <f t="shared" si="2"/>
        <v>55.966666666666669</v>
      </c>
      <c r="I22" s="96">
        <f t="shared" si="2"/>
        <v>55.966666666666669</v>
      </c>
      <c r="J22" s="96">
        <f t="shared" si="2"/>
        <v>55.966666666666669</v>
      </c>
      <c r="K22" s="96">
        <f t="shared" si="2"/>
        <v>55.966666666666669</v>
      </c>
      <c r="L22" s="96">
        <f t="shared" si="2"/>
        <v>55.966666666666669</v>
      </c>
      <c r="M22" s="96">
        <f t="shared" si="2"/>
        <v>55.966666666666669</v>
      </c>
      <c r="N22" s="96">
        <f t="shared" si="2"/>
        <v>55.966666666666669</v>
      </c>
      <c r="O22" s="96">
        <f t="shared" si="2"/>
        <v>55.966666666666669</v>
      </c>
      <c r="P22" s="96">
        <f t="shared" si="2"/>
        <v>55.966666666666669</v>
      </c>
      <c r="Q22" s="25">
        <f>$G$38</f>
        <v>83</v>
      </c>
      <c r="R22" s="25">
        <f t="shared" si="1"/>
        <v>83</v>
      </c>
      <c r="S22" s="25">
        <f t="shared" si="1"/>
        <v>83</v>
      </c>
      <c r="T22" s="25">
        <f t="shared" si="1"/>
        <v>83</v>
      </c>
      <c r="U22" s="25">
        <f t="shared" si="1"/>
        <v>83</v>
      </c>
    </row>
    <row r="23" spans="1:21" ht="16.5" customHeight="1" x14ac:dyDescent="0.2">
      <c r="A23" s="182"/>
      <c r="B23" s="6" t="s">
        <v>117</v>
      </c>
      <c r="C23" s="24">
        <v>2013</v>
      </c>
      <c r="D23" s="24">
        <v>2027</v>
      </c>
      <c r="E23" s="6">
        <v>1</v>
      </c>
      <c r="F23" s="25">
        <f>AVERAGE(D6:F6)</f>
        <v>39.599999999999994</v>
      </c>
      <c r="G23" s="25">
        <f t="shared" ref="G23:P24" si="3">$G$38</f>
        <v>83</v>
      </c>
      <c r="H23" s="25">
        <f t="shared" si="3"/>
        <v>83</v>
      </c>
      <c r="I23" s="25">
        <f t="shared" si="3"/>
        <v>83</v>
      </c>
      <c r="J23" s="25">
        <f t="shared" si="3"/>
        <v>83</v>
      </c>
      <c r="K23" s="25">
        <f t="shared" si="3"/>
        <v>83</v>
      </c>
      <c r="L23" s="25">
        <f t="shared" si="3"/>
        <v>83</v>
      </c>
      <c r="M23" s="25">
        <f t="shared" si="3"/>
        <v>83</v>
      </c>
      <c r="N23" s="25">
        <f t="shared" si="3"/>
        <v>83</v>
      </c>
      <c r="O23" s="25">
        <f t="shared" si="3"/>
        <v>83</v>
      </c>
      <c r="P23" s="25">
        <f t="shared" si="3"/>
        <v>83</v>
      </c>
      <c r="Q23" s="25">
        <f>$G$38</f>
        <v>83</v>
      </c>
      <c r="R23" s="25">
        <f t="shared" si="1"/>
        <v>83</v>
      </c>
      <c r="S23" s="25">
        <f t="shared" si="1"/>
        <v>83</v>
      </c>
      <c r="T23" s="25">
        <f t="shared" si="1"/>
        <v>83</v>
      </c>
      <c r="U23" s="25">
        <f t="shared" si="1"/>
        <v>83</v>
      </c>
    </row>
    <row r="24" spans="1:21" ht="18" customHeight="1" x14ac:dyDescent="0.2">
      <c r="A24" s="182"/>
      <c r="B24" s="97" t="s">
        <v>117</v>
      </c>
      <c r="C24" s="98">
        <v>2013</v>
      </c>
      <c r="D24" s="98">
        <v>2027</v>
      </c>
      <c r="E24" s="97">
        <v>1</v>
      </c>
      <c r="F24" s="99">
        <f>AVERAGE(D7:F7)</f>
        <v>28.733333333333331</v>
      </c>
      <c r="G24" s="25">
        <f t="shared" si="3"/>
        <v>83</v>
      </c>
      <c r="H24" s="25">
        <f t="shared" si="3"/>
        <v>83</v>
      </c>
      <c r="I24" s="25">
        <f t="shared" si="3"/>
        <v>83</v>
      </c>
      <c r="J24" s="25">
        <f t="shared" si="3"/>
        <v>83</v>
      </c>
      <c r="K24" s="25">
        <f t="shared" si="3"/>
        <v>83</v>
      </c>
      <c r="L24" s="25">
        <f t="shared" si="3"/>
        <v>83</v>
      </c>
      <c r="M24" s="25">
        <f t="shared" si="3"/>
        <v>83</v>
      </c>
      <c r="N24" s="25">
        <f t="shared" si="3"/>
        <v>83</v>
      </c>
      <c r="O24" s="25">
        <f t="shared" si="3"/>
        <v>83</v>
      </c>
      <c r="P24" s="25">
        <f t="shared" si="3"/>
        <v>83</v>
      </c>
      <c r="Q24" s="25">
        <f>$G$38</f>
        <v>83</v>
      </c>
      <c r="R24" s="25">
        <f t="shared" si="1"/>
        <v>83</v>
      </c>
      <c r="S24" s="25">
        <f t="shared" si="1"/>
        <v>83</v>
      </c>
      <c r="T24" s="25">
        <f t="shared" si="1"/>
        <v>83</v>
      </c>
      <c r="U24" s="25">
        <f t="shared" si="1"/>
        <v>83</v>
      </c>
    </row>
    <row r="25" spans="1:21" ht="34.5" customHeight="1" x14ac:dyDescent="0.2">
      <c r="A25" s="4" t="s">
        <v>118</v>
      </c>
      <c r="B25" s="97" t="s">
        <v>119</v>
      </c>
      <c r="C25" s="98">
        <v>2014</v>
      </c>
      <c r="D25" s="98">
        <v>2029</v>
      </c>
      <c r="E25" s="97">
        <v>0.63</v>
      </c>
      <c r="F25" s="99">
        <f>AVERAGE(D9:F9)</f>
        <v>39.766666666666673</v>
      </c>
      <c r="G25" s="100">
        <f t="shared" ref="G25:H29" si="4">$F25</f>
        <v>39.766666666666673</v>
      </c>
      <c r="H25" s="100">
        <f t="shared" si="4"/>
        <v>39.766666666666673</v>
      </c>
      <c r="I25" s="25">
        <f t="shared" ref="I25:P25" si="5">$G$38</f>
        <v>83</v>
      </c>
      <c r="J25" s="25">
        <f t="shared" si="5"/>
        <v>83</v>
      </c>
      <c r="K25" s="25">
        <f t="shared" si="5"/>
        <v>83</v>
      </c>
      <c r="L25" s="25">
        <f t="shared" si="5"/>
        <v>83</v>
      </c>
      <c r="M25" s="25">
        <f t="shared" si="5"/>
        <v>83</v>
      </c>
      <c r="N25" s="25">
        <f t="shared" si="5"/>
        <v>83</v>
      </c>
      <c r="O25" s="25">
        <f t="shared" si="5"/>
        <v>83</v>
      </c>
      <c r="P25" s="25">
        <f t="shared" si="5"/>
        <v>83</v>
      </c>
      <c r="Q25" s="25">
        <f>$G$38</f>
        <v>83</v>
      </c>
      <c r="R25" s="25">
        <f t="shared" si="1"/>
        <v>83</v>
      </c>
      <c r="S25" s="25">
        <f t="shared" si="1"/>
        <v>83</v>
      </c>
      <c r="T25" s="25">
        <f t="shared" si="1"/>
        <v>83</v>
      </c>
      <c r="U25" s="25">
        <f t="shared" si="1"/>
        <v>83</v>
      </c>
    </row>
    <row r="26" spans="1:21" ht="16.5" customHeight="1" x14ac:dyDescent="0.2">
      <c r="A26" s="182" t="s">
        <v>120</v>
      </c>
      <c r="B26" s="101" t="s">
        <v>121</v>
      </c>
      <c r="C26" s="94">
        <v>2008</v>
      </c>
      <c r="D26" s="94">
        <v>2030</v>
      </c>
      <c r="E26" s="101">
        <v>1</v>
      </c>
      <c r="F26" s="102">
        <f>AVERAGE(D10:F10)</f>
        <v>64.7</v>
      </c>
      <c r="G26" s="95">
        <f t="shared" si="4"/>
        <v>64.7</v>
      </c>
      <c r="H26" s="95">
        <f t="shared" si="4"/>
        <v>64.7</v>
      </c>
      <c r="I26" s="95">
        <f>$F26</f>
        <v>64.7</v>
      </c>
      <c r="J26" s="25">
        <f t="shared" ref="J26:U26" si="6">$G$39</f>
        <v>86</v>
      </c>
      <c r="K26" s="25">
        <f t="shared" si="6"/>
        <v>86</v>
      </c>
      <c r="L26" s="25">
        <f t="shared" si="6"/>
        <v>86</v>
      </c>
      <c r="M26" s="25">
        <f t="shared" si="6"/>
        <v>86</v>
      </c>
      <c r="N26" s="25">
        <f t="shared" si="6"/>
        <v>86</v>
      </c>
      <c r="O26" s="25">
        <f t="shared" si="6"/>
        <v>86</v>
      </c>
      <c r="P26" s="25">
        <f t="shared" si="6"/>
        <v>86</v>
      </c>
      <c r="Q26" s="25">
        <f t="shared" si="6"/>
        <v>86</v>
      </c>
      <c r="R26" s="25">
        <f t="shared" si="6"/>
        <v>86</v>
      </c>
      <c r="S26" s="25">
        <f t="shared" si="6"/>
        <v>86</v>
      </c>
      <c r="T26" s="25">
        <f t="shared" si="6"/>
        <v>86</v>
      </c>
      <c r="U26" s="25">
        <f t="shared" si="6"/>
        <v>86</v>
      </c>
    </row>
    <row r="27" spans="1:21" ht="18" customHeight="1" x14ac:dyDescent="0.2">
      <c r="A27" s="182"/>
      <c r="B27" s="97" t="s">
        <v>121</v>
      </c>
      <c r="C27" s="98">
        <v>2018</v>
      </c>
      <c r="D27" s="98">
        <v>2038</v>
      </c>
      <c r="E27" s="97">
        <v>1</v>
      </c>
      <c r="F27" s="99">
        <f>AVERAGE(D11:F11)</f>
        <v>69.316666666666663</v>
      </c>
      <c r="G27" s="100">
        <f t="shared" si="4"/>
        <v>69.316666666666663</v>
      </c>
      <c r="H27" s="100">
        <f t="shared" si="4"/>
        <v>69.316666666666663</v>
      </c>
      <c r="I27" s="100">
        <f>$F27</f>
        <v>69.316666666666663</v>
      </c>
      <c r="J27" s="100">
        <f t="shared" ref="J27:Q27" si="7">$F27</f>
        <v>69.316666666666663</v>
      </c>
      <c r="K27" s="100">
        <f t="shared" si="7"/>
        <v>69.316666666666663</v>
      </c>
      <c r="L27" s="100">
        <f t="shared" si="7"/>
        <v>69.316666666666663</v>
      </c>
      <c r="M27" s="100">
        <f t="shared" si="7"/>
        <v>69.316666666666663</v>
      </c>
      <c r="N27" s="100">
        <f t="shared" si="7"/>
        <v>69.316666666666663</v>
      </c>
      <c r="O27" s="100">
        <f t="shared" si="7"/>
        <v>69.316666666666663</v>
      </c>
      <c r="P27" s="100">
        <f t="shared" si="7"/>
        <v>69.316666666666663</v>
      </c>
      <c r="Q27" s="100">
        <f t="shared" si="7"/>
        <v>69.316666666666663</v>
      </c>
      <c r="R27" s="25">
        <f>$G$39</f>
        <v>86</v>
      </c>
      <c r="S27" s="25">
        <f>$G$39</f>
        <v>86</v>
      </c>
      <c r="T27" s="25">
        <f>$G$39</f>
        <v>86</v>
      </c>
      <c r="U27" s="25">
        <f>$G$39</f>
        <v>86</v>
      </c>
    </row>
    <row r="28" spans="1:21" ht="15.75" customHeight="1" x14ac:dyDescent="0.2">
      <c r="A28" s="182" t="s">
        <v>122</v>
      </c>
      <c r="B28" s="94" t="s">
        <v>123</v>
      </c>
      <c r="C28" s="94">
        <v>2022</v>
      </c>
      <c r="D28" s="94">
        <v>2037</v>
      </c>
      <c r="E28" s="101">
        <v>0.4</v>
      </c>
      <c r="F28" s="102">
        <f>AVERAGE(D12:F12)</f>
        <v>50.133333333333333</v>
      </c>
      <c r="G28" s="95">
        <f t="shared" si="4"/>
        <v>50.133333333333333</v>
      </c>
      <c r="H28" s="95">
        <f t="shared" si="4"/>
        <v>50.133333333333333</v>
      </c>
      <c r="I28" s="95">
        <f>$F28</f>
        <v>50.133333333333333</v>
      </c>
      <c r="J28" s="95">
        <f t="shared" ref="J28:P29" si="8">$F28</f>
        <v>50.133333333333333</v>
      </c>
      <c r="K28" s="95">
        <f t="shared" si="8"/>
        <v>50.133333333333333</v>
      </c>
      <c r="L28" s="95">
        <f t="shared" si="8"/>
        <v>50.133333333333333</v>
      </c>
      <c r="M28" s="95">
        <f t="shared" si="8"/>
        <v>50.133333333333333</v>
      </c>
      <c r="N28" s="95">
        <f t="shared" si="8"/>
        <v>50.133333333333333</v>
      </c>
      <c r="O28" s="95">
        <f t="shared" si="8"/>
        <v>50.133333333333333</v>
      </c>
      <c r="P28" s="95">
        <f t="shared" si="8"/>
        <v>50.133333333333333</v>
      </c>
      <c r="Q28" s="25">
        <f t="shared" ref="Q28:U29" si="9">$G$38</f>
        <v>83</v>
      </c>
      <c r="R28" s="25">
        <f t="shared" si="9"/>
        <v>83</v>
      </c>
      <c r="S28" s="25">
        <f t="shared" si="9"/>
        <v>83</v>
      </c>
      <c r="T28" s="25">
        <f t="shared" si="9"/>
        <v>83</v>
      </c>
      <c r="U28" s="25">
        <f t="shared" si="9"/>
        <v>83</v>
      </c>
    </row>
    <row r="29" spans="1:21" ht="16.5" customHeight="1" x14ac:dyDescent="0.2">
      <c r="A29" s="182"/>
      <c r="B29" s="98" t="s">
        <v>123</v>
      </c>
      <c r="C29" s="98">
        <v>2022</v>
      </c>
      <c r="D29" s="98">
        <v>2037</v>
      </c>
      <c r="E29" s="97">
        <v>0.4</v>
      </c>
      <c r="F29" s="99">
        <f>AVERAGE(D13:F13)</f>
        <v>50.066666666666663</v>
      </c>
      <c r="G29" s="100">
        <f t="shared" si="4"/>
        <v>50.066666666666663</v>
      </c>
      <c r="H29" s="100">
        <f t="shared" si="4"/>
        <v>50.066666666666663</v>
      </c>
      <c r="I29" s="100">
        <f>$F29</f>
        <v>50.066666666666663</v>
      </c>
      <c r="J29" s="100">
        <f t="shared" si="8"/>
        <v>50.066666666666663</v>
      </c>
      <c r="K29" s="100">
        <f t="shared" si="8"/>
        <v>50.066666666666663</v>
      </c>
      <c r="L29" s="100">
        <f t="shared" si="8"/>
        <v>50.066666666666663</v>
      </c>
      <c r="M29" s="100">
        <f t="shared" si="8"/>
        <v>50.066666666666663</v>
      </c>
      <c r="N29" s="100">
        <f t="shared" si="8"/>
        <v>50.066666666666663</v>
      </c>
      <c r="O29" s="100">
        <f t="shared" si="8"/>
        <v>50.066666666666663</v>
      </c>
      <c r="P29" s="100">
        <f t="shared" si="8"/>
        <v>50.066666666666663</v>
      </c>
      <c r="Q29" s="25">
        <f t="shared" si="9"/>
        <v>83</v>
      </c>
      <c r="R29" s="25">
        <f t="shared" si="9"/>
        <v>83</v>
      </c>
      <c r="S29" s="25">
        <f t="shared" si="9"/>
        <v>83</v>
      </c>
      <c r="T29" s="25">
        <f t="shared" si="9"/>
        <v>83</v>
      </c>
      <c r="U29" s="25">
        <f t="shared" si="9"/>
        <v>83</v>
      </c>
    </row>
    <row r="30" spans="1:21" ht="15.75" customHeight="1" x14ac:dyDescent="0.2"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5.75" customHeight="1" x14ac:dyDescent="0.2">
      <c r="F31" s="65" t="s">
        <v>129</v>
      </c>
      <c r="G31" s="103">
        <v>2027</v>
      </c>
      <c r="H31" s="103">
        <v>2028</v>
      </c>
      <c r="I31" s="103">
        <v>2029</v>
      </c>
      <c r="J31" s="103">
        <v>2030</v>
      </c>
      <c r="K31" s="103">
        <v>2031</v>
      </c>
      <c r="L31" s="103">
        <v>2032</v>
      </c>
      <c r="M31" s="103">
        <v>2033</v>
      </c>
      <c r="N31" s="103">
        <v>2034</v>
      </c>
      <c r="O31" s="103">
        <v>2035</v>
      </c>
      <c r="P31" s="103">
        <v>2036</v>
      </c>
      <c r="Q31" s="103">
        <v>2037</v>
      </c>
      <c r="R31" s="103">
        <v>2038</v>
      </c>
      <c r="S31" s="103">
        <v>2039</v>
      </c>
      <c r="T31" s="103">
        <v>2040</v>
      </c>
      <c r="U31" s="103">
        <v>2041</v>
      </c>
    </row>
    <row r="32" spans="1:21" ht="15.75" customHeight="1" x14ac:dyDescent="0.2">
      <c r="F32" s="65" t="s">
        <v>8</v>
      </c>
      <c r="G32" s="104">
        <f t="shared" ref="G32:U32" si="10">ROUND(SUMPRODUCT(G20:G24,$E$20:$E$24)/SUM($E$20:$E$24),2)</f>
        <v>68.33</v>
      </c>
      <c r="H32" s="104">
        <f t="shared" si="10"/>
        <v>68.33</v>
      </c>
      <c r="I32" s="104">
        <f t="shared" si="10"/>
        <v>68.33</v>
      </c>
      <c r="J32" s="104">
        <f t="shared" si="10"/>
        <v>68.33</v>
      </c>
      <c r="K32" s="104">
        <f t="shared" si="10"/>
        <v>68.33</v>
      </c>
      <c r="L32" s="104">
        <f t="shared" si="10"/>
        <v>68.33</v>
      </c>
      <c r="M32" s="104">
        <f t="shared" si="10"/>
        <v>68.33</v>
      </c>
      <c r="N32" s="104">
        <f t="shared" si="10"/>
        <v>68.33</v>
      </c>
      <c r="O32" s="104">
        <f t="shared" si="10"/>
        <v>68.33</v>
      </c>
      <c r="P32" s="104">
        <f t="shared" si="10"/>
        <v>68.33</v>
      </c>
      <c r="Q32" s="104">
        <f t="shared" si="10"/>
        <v>79.209999999999994</v>
      </c>
      <c r="R32" s="104">
        <f t="shared" si="10"/>
        <v>83</v>
      </c>
      <c r="S32" s="104">
        <f t="shared" si="10"/>
        <v>83</v>
      </c>
      <c r="T32" s="104">
        <f t="shared" si="10"/>
        <v>83</v>
      </c>
      <c r="U32" s="104">
        <f t="shared" si="10"/>
        <v>83</v>
      </c>
    </row>
    <row r="33" spans="5:21" ht="15.75" customHeight="1" x14ac:dyDescent="0.2">
      <c r="F33" s="65" t="s">
        <v>38</v>
      </c>
      <c r="G33" s="104">
        <f t="shared" ref="G33:U33" si="11">ROUND(AVERAGE(G25:G25),2)</f>
        <v>39.770000000000003</v>
      </c>
      <c r="H33" s="104">
        <f t="shared" si="11"/>
        <v>39.770000000000003</v>
      </c>
      <c r="I33" s="104">
        <f t="shared" si="11"/>
        <v>83</v>
      </c>
      <c r="J33" s="104">
        <f t="shared" si="11"/>
        <v>83</v>
      </c>
      <c r="K33" s="104">
        <f t="shared" si="11"/>
        <v>83</v>
      </c>
      <c r="L33" s="104">
        <f t="shared" si="11"/>
        <v>83</v>
      </c>
      <c r="M33" s="104">
        <f t="shared" si="11"/>
        <v>83</v>
      </c>
      <c r="N33" s="104">
        <f t="shared" si="11"/>
        <v>83</v>
      </c>
      <c r="O33" s="104">
        <f t="shared" si="11"/>
        <v>83</v>
      </c>
      <c r="P33" s="104">
        <f t="shared" si="11"/>
        <v>83</v>
      </c>
      <c r="Q33" s="104">
        <f t="shared" si="11"/>
        <v>83</v>
      </c>
      <c r="R33" s="104">
        <f t="shared" si="11"/>
        <v>83</v>
      </c>
      <c r="S33" s="104">
        <f t="shared" si="11"/>
        <v>83</v>
      </c>
      <c r="T33" s="104">
        <f t="shared" si="11"/>
        <v>83</v>
      </c>
      <c r="U33" s="104">
        <f t="shared" si="11"/>
        <v>83</v>
      </c>
    </row>
    <row r="34" spans="5:21" ht="15.75" customHeight="1" x14ac:dyDescent="0.2">
      <c r="F34" s="65" t="s">
        <v>42</v>
      </c>
      <c r="G34" s="104">
        <f t="shared" ref="G34:U34" si="12">ROUND(AVERAGE(G26:G27),2)</f>
        <v>67.010000000000005</v>
      </c>
      <c r="H34" s="104">
        <f t="shared" si="12"/>
        <v>67.010000000000005</v>
      </c>
      <c r="I34" s="104">
        <f t="shared" si="12"/>
        <v>67.010000000000005</v>
      </c>
      <c r="J34" s="104">
        <f t="shared" si="12"/>
        <v>77.66</v>
      </c>
      <c r="K34" s="104">
        <f t="shared" si="12"/>
        <v>77.66</v>
      </c>
      <c r="L34" s="104">
        <f t="shared" si="12"/>
        <v>77.66</v>
      </c>
      <c r="M34" s="104">
        <f t="shared" si="12"/>
        <v>77.66</v>
      </c>
      <c r="N34" s="104">
        <f t="shared" si="12"/>
        <v>77.66</v>
      </c>
      <c r="O34" s="104">
        <f t="shared" si="12"/>
        <v>77.66</v>
      </c>
      <c r="P34" s="104">
        <f t="shared" si="12"/>
        <v>77.66</v>
      </c>
      <c r="Q34" s="104">
        <f t="shared" si="12"/>
        <v>77.66</v>
      </c>
      <c r="R34" s="104">
        <f t="shared" si="12"/>
        <v>86</v>
      </c>
      <c r="S34" s="104">
        <f t="shared" si="12"/>
        <v>86</v>
      </c>
      <c r="T34" s="104">
        <f t="shared" si="12"/>
        <v>86</v>
      </c>
      <c r="U34" s="104">
        <f t="shared" si="12"/>
        <v>86</v>
      </c>
    </row>
    <row r="35" spans="5:21" ht="15.75" customHeight="1" x14ac:dyDescent="0.2">
      <c r="F35" s="65" t="s">
        <v>46</v>
      </c>
      <c r="G35" s="104">
        <f t="shared" ref="G35:U35" si="13">ROUND(AVERAGE(G28:G29),2)</f>
        <v>50.1</v>
      </c>
      <c r="H35" s="104">
        <f t="shared" si="13"/>
        <v>50.1</v>
      </c>
      <c r="I35" s="104">
        <f t="shared" si="13"/>
        <v>50.1</v>
      </c>
      <c r="J35" s="104">
        <f t="shared" si="13"/>
        <v>50.1</v>
      </c>
      <c r="K35" s="104">
        <f t="shared" si="13"/>
        <v>50.1</v>
      </c>
      <c r="L35" s="104">
        <f t="shared" si="13"/>
        <v>50.1</v>
      </c>
      <c r="M35" s="104">
        <f t="shared" si="13"/>
        <v>50.1</v>
      </c>
      <c r="N35" s="104">
        <f t="shared" si="13"/>
        <v>50.1</v>
      </c>
      <c r="O35" s="104">
        <f t="shared" si="13"/>
        <v>50.1</v>
      </c>
      <c r="P35" s="104">
        <f t="shared" si="13"/>
        <v>50.1</v>
      </c>
      <c r="Q35" s="104">
        <f t="shared" si="13"/>
        <v>83</v>
      </c>
      <c r="R35" s="104">
        <f t="shared" si="13"/>
        <v>83</v>
      </c>
      <c r="S35" s="104">
        <f t="shared" si="13"/>
        <v>83</v>
      </c>
      <c r="T35" s="104">
        <f t="shared" si="13"/>
        <v>83</v>
      </c>
      <c r="U35" s="104">
        <f t="shared" si="13"/>
        <v>83</v>
      </c>
    </row>
    <row r="38" spans="5:21" ht="15.75" customHeight="1" x14ac:dyDescent="0.2">
      <c r="E38" t="s">
        <v>130</v>
      </c>
      <c r="G38">
        <v>83</v>
      </c>
      <c r="H38" t="s">
        <v>131</v>
      </c>
      <c r="Q38" t="s">
        <v>132</v>
      </c>
    </row>
    <row r="39" spans="5:21" ht="15.75" customHeight="1" x14ac:dyDescent="0.2">
      <c r="E39" t="s">
        <v>133</v>
      </c>
      <c r="G39">
        <v>86</v>
      </c>
      <c r="H39" t="s">
        <v>134</v>
      </c>
      <c r="Q39" t="s">
        <v>132</v>
      </c>
    </row>
  </sheetData>
  <mergeCells count="8">
    <mergeCell ref="A20:A24"/>
    <mergeCell ref="A26:A27"/>
    <mergeCell ref="A28:A29"/>
    <mergeCell ref="D1:F1"/>
    <mergeCell ref="A3:A7"/>
    <mergeCell ref="A8:A9"/>
    <mergeCell ref="A10:A11"/>
    <mergeCell ref="A12:A1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zoomScaleNormal="100" workbookViewId="0">
      <selection activeCell="B2" sqref="B2"/>
    </sheetView>
  </sheetViews>
  <sheetFormatPr baseColWidth="10" defaultColWidth="8.83203125" defaultRowHeight="16" x14ac:dyDescent="0.2"/>
  <cols>
    <col min="1" max="1" width="29.83203125" customWidth="1"/>
    <col min="2" max="2" width="23.83203125" customWidth="1"/>
    <col min="3" max="3" width="14.1640625" customWidth="1"/>
    <col min="4" max="4" width="19.83203125" customWidth="1"/>
    <col min="5" max="5" width="20.6640625" customWidth="1"/>
    <col min="6" max="6" width="22.5" customWidth="1"/>
  </cols>
  <sheetData>
    <row r="1" spans="1:6" ht="33.75" customHeight="1" x14ac:dyDescent="0.2">
      <c r="A1" s="5" t="s">
        <v>105</v>
      </c>
      <c r="B1" s="82" t="s">
        <v>106</v>
      </c>
      <c r="C1" s="82" t="s">
        <v>135</v>
      </c>
      <c r="D1" s="24" t="s">
        <v>136</v>
      </c>
      <c r="E1" s="24" t="s">
        <v>137</v>
      </c>
      <c r="F1" s="82" t="s">
        <v>138</v>
      </c>
    </row>
    <row r="2" spans="1:6" ht="51" customHeight="1" x14ac:dyDescent="0.2">
      <c r="A2" s="86" t="s">
        <v>113</v>
      </c>
      <c r="B2" s="86" t="s">
        <v>139</v>
      </c>
      <c r="C2" s="24">
        <v>2</v>
      </c>
      <c r="D2" s="3" t="s">
        <v>140</v>
      </c>
      <c r="E2" s="3" t="s">
        <v>141</v>
      </c>
      <c r="F2" s="65">
        <v>92.09</v>
      </c>
    </row>
    <row r="3" spans="1:6" ht="51" customHeight="1" x14ac:dyDescent="0.2">
      <c r="A3" s="86" t="s">
        <v>118</v>
      </c>
      <c r="B3" s="86" t="s">
        <v>142</v>
      </c>
      <c r="C3" s="24">
        <v>1</v>
      </c>
      <c r="D3" s="185" t="s">
        <v>143</v>
      </c>
      <c r="E3" s="185"/>
      <c r="F3" s="65">
        <v>92.02</v>
      </c>
    </row>
    <row r="4" spans="1:6" ht="51" customHeight="1" x14ac:dyDescent="0.2">
      <c r="A4" s="86" t="s">
        <v>120</v>
      </c>
      <c r="B4" s="86" t="s">
        <v>144</v>
      </c>
      <c r="C4" s="24">
        <v>2</v>
      </c>
      <c r="D4" s="3" t="s">
        <v>145</v>
      </c>
      <c r="E4" s="3" t="s">
        <v>146</v>
      </c>
      <c r="F4" s="65">
        <v>92.11</v>
      </c>
    </row>
    <row r="5" spans="1:6" ht="51" customHeight="1" x14ac:dyDescent="0.2">
      <c r="A5" s="86" t="s">
        <v>122</v>
      </c>
      <c r="B5" s="86" t="s">
        <v>142</v>
      </c>
      <c r="C5" s="24">
        <v>1</v>
      </c>
      <c r="D5" s="185" t="s">
        <v>147</v>
      </c>
      <c r="E5" s="185"/>
      <c r="F5" s="65">
        <v>92.14</v>
      </c>
    </row>
    <row r="17" spans="2:2" ht="15.75" customHeight="1" x14ac:dyDescent="0.2">
      <c r="B17" t="s">
        <v>148</v>
      </c>
    </row>
  </sheetData>
  <mergeCells count="2">
    <mergeCell ref="D3:E3"/>
    <mergeCell ref="D5:E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Свод</vt:lpstr>
      <vt:lpstr>Расчетная модель ПС </vt:lpstr>
      <vt:lpstr>Исходные данные</vt:lpstr>
      <vt:lpstr>Сравнение БС</vt:lpstr>
      <vt:lpstr>Расчетная модель БС BAU </vt:lpstr>
      <vt:lpstr>Расч-ая модель БС BAU cons</vt:lpstr>
      <vt:lpstr>Расч-ая модель БС BAU adjust</vt:lpstr>
      <vt:lpstr>Котельные факт + нов</vt:lpstr>
      <vt:lpstr>Перечень обор БМК (котлы)</vt:lpstr>
      <vt:lpstr>Котельные проект макс КПД котло</vt:lpstr>
      <vt:lpstr>Неопределенность</vt:lpstr>
      <vt:lpstr>Расцет ЦУР и Нац цели&gt;&gt;&gt;</vt:lpstr>
      <vt:lpstr>Выбросы от доставки грузов</vt:lpstr>
      <vt:lpstr>Индексы цен Услуги</vt:lpstr>
      <vt:lpstr>Энергоемкость производства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0</cp:revision>
  <cp:lastPrinted>2026-02-18T13:08:37Z</cp:lastPrinted>
  <dcterms:created xsi:type="dcterms:W3CDTF">2026-02-13T15:58:48Z</dcterms:created>
  <dcterms:modified xsi:type="dcterms:W3CDTF">2026-08-04T18:46:51Z</dcterms:modified>
  <dc:language>en-US</dc:language>
</cp:coreProperties>
</file>